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autoCompressPictures="0"/>
  <mc:AlternateContent xmlns:mc="http://schemas.openxmlformats.org/markup-compatibility/2006">
    <mc:Choice Requires="x15">
      <x15ac:absPath xmlns:x15ac="http://schemas.microsoft.com/office/spreadsheetml/2010/11/ac" url="C:\Users\craig.lundgren\1_daily\compliance\envrionmental\cmrt_emrt\current_reell_cmrt_emrt\"/>
    </mc:Choice>
  </mc:AlternateContent>
  <xr:revisionPtr revIDLastSave="0" documentId="13_ncr:1_{EF42CC13-1F9C-40F6-B4D3-9DFBC933F17B}"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1720" yWindow="1188" windowWidth="18900" windowHeight="10896"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2" i="5" l="1"/>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B5" i="5"/>
  <c r="C4"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52" i="5"/>
  <c r="E52" i="5"/>
  <c r="V53" i="5"/>
  <c r="E53" i="5"/>
  <c r="X53" i="5"/>
  <c r="V54" i="5"/>
  <c r="E54" i="5"/>
  <c r="X54" i="5"/>
  <c r="V55" i="5"/>
  <c r="E55" i="5"/>
  <c r="X55" i="5"/>
  <c r="V56" i="5"/>
  <c r="E56" i="5"/>
  <c r="X56" i="5"/>
  <c r="V57" i="5"/>
  <c r="E57" i="5"/>
  <c r="X57" i="5"/>
  <c r="V58" i="5"/>
  <c r="E58" i="5"/>
  <c r="X58" i="5"/>
  <c r="V59" i="5"/>
  <c r="E59" i="5"/>
  <c r="X59" i="5"/>
  <c r="V60" i="5"/>
  <c r="E60" i="5"/>
  <c r="X60" i="5"/>
  <c r="V61" i="5"/>
  <c r="V62" i="5"/>
  <c r="V63" i="5"/>
  <c r="E63" i="5"/>
  <c r="X63" i="5"/>
  <c r="V64" i="5"/>
  <c r="E64" i="5"/>
  <c r="X64" i="5"/>
  <c r="V65" i="5"/>
  <c r="E65" i="5"/>
  <c r="X65" i="5"/>
  <c r="V66" i="5"/>
  <c r="E66" i="5"/>
  <c r="X66" i="5"/>
  <c r="V67" i="5"/>
  <c r="E67" i="5"/>
  <c r="X67" i="5"/>
  <c r="V68" i="5"/>
  <c r="E68" i="5"/>
  <c r="X68" i="5"/>
  <c r="V69" i="5"/>
  <c r="E69" i="5"/>
  <c r="X69" i="5"/>
  <c r="V70" i="5"/>
  <c r="E70" i="5"/>
  <c r="X70" i="5"/>
  <c r="V71" i="5"/>
  <c r="H71" i="5"/>
  <c r="E71" i="5"/>
  <c r="X71" i="5"/>
  <c r="V72" i="5"/>
  <c r="E72" i="5"/>
  <c r="X72" i="5"/>
  <c r="V73" i="5"/>
  <c r="E73" i="5"/>
  <c r="X73" i="5"/>
  <c r="V74" i="5"/>
  <c r="E74" i="5"/>
  <c r="X74" i="5"/>
  <c r="V75" i="5"/>
  <c r="E75" i="5"/>
  <c r="X75" i="5"/>
  <c r="V76" i="5"/>
  <c r="E76" i="5"/>
  <c r="X76" i="5"/>
  <c r="V77" i="5"/>
  <c r="E77" i="5"/>
  <c r="X77" i="5"/>
  <c r="V78" i="5"/>
  <c r="V79" i="5"/>
  <c r="E79" i="5"/>
  <c r="X79" i="5"/>
  <c r="V80" i="5"/>
  <c r="E80" i="5"/>
  <c r="X80" i="5"/>
  <c r="V81" i="5"/>
  <c r="E81" i="5"/>
  <c r="X81" i="5"/>
  <c r="V82" i="5"/>
  <c r="E82" i="5"/>
  <c r="X82" i="5"/>
  <c r="V83" i="5"/>
  <c r="E83" i="5"/>
  <c r="X83" i="5"/>
  <c r="V84" i="5"/>
  <c r="E84" i="5"/>
  <c r="X84" i="5"/>
  <c r="V85" i="5"/>
  <c r="E85" i="5"/>
  <c r="X85" i="5"/>
  <c r="V86" i="5"/>
  <c r="E86" i="5"/>
  <c r="X86" i="5"/>
  <c r="V87" i="5"/>
  <c r="V88" i="5"/>
  <c r="E88" i="5"/>
  <c r="X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X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X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c r="H10" i="6"/>
  <c r="D10" i="6"/>
  <c r="B9"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9" i="6"/>
  <c r="H9" i="6"/>
  <c r="D9" i="6"/>
  <c r="B8" i="6"/>
  <c r="G8" i="6"/>
  <c r="H8" i="6"/>
  <c r="D8" i="6"/>
  <c r="B7" i="6"/>
  <c r="G7" i="6"/>
  <c r="H7" i="6"/>
  <c r="D7" i="6"/>
  <c r="B6" i="6"/>
  <c r="G6" i="6"/>
  <c r="B5" i="6"/>
  <c r="F6" i="6"/>
  <c r="H6" i="6"/>
  <c r="D6" i="6"/>
  <c r="B4" i="6"/>
  <c r="G4" i="6"/>
  <c r="H4" i="6"/>
  <c r="D4" i="6"/>
  <c r="S2492" i="5"/>
  <c r="B90" i="4"/>
  <c r="H67" i="4"/>
  <c r="P47" i="4"/>
  <c r="P46" i="4"/>
  <c r="B46" i="4"/>
  <c r="A31" i="6"/>
  <c r="P45" i="4"/>
  <c r="B45" i="4"/>
  <c r="A30" i="6"/>
  <c r="P44" i="4"/>
  <c r="B44" i="4"/>
  <c r="A29" i="6"/>
  <c r="P43" i="4"/>
  <c r="Q43" i="4"/>
  <c r="P41" i="4"/>
  <c r="P40" i="4"/>
  <c r="P39" i="4"/>
  <c r="B39" i="4"/>
  <c r="B57" i="4"/>
  <c r="A40" i="6"/>
  <c r="P38" i="4"/>
  <c r="P37" i="4"/>
  <c r="Q37" i="4"/>
  <c r="P35" i="4"/>
  <c r="P34" i="4"/>
  <c r="P33" i="4"/>
  <c r="P32" i="4"/>
  <c r="P31" i="4"/>
  <c r="Q31" i="4"/>
  <c r="P29" i="4"/>
  <c r="B29" i="4"/>
  <c r="A17" i="6"/>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22" i="6"/>
  <c r="B22" i="6"/>
  <c r="B27" i="6"/>
  <c r="G27" i="6"/>
  <c r="H27" i="6"/>
  <c r="D27" i="6"/>
  <c r="F27" i="6"/>
  <c r="F52" i="6"/>
  <c r="F64" i="6"/>
  <c r="G5" i="6"/>
  <c r="H5" i="6"/>
  <c r="D5" i="6"/>
  <c r="G17" i="6"/>
  <c r="H17" i="6"/>
  <c r="G15" i="6"/>
  <c r="H15" i="6"/>
  <c r="B20" i="6"/>
  <c r="F25" i="6"/>
  <c r="B21" i="6"/>
  <c r="B41" i="6"/>
  <c r="G41" i="6"/>
  <c r="G16" i="6"/>
  <c r="H16" i="6"/>
  <c r="K67" i="6"/>
  <c r="B19" i="6"/>
  <c r="B34" i="6"/>
  <c r="G34" i="6"/>
  <c r="A38" i="2"/>
  <c r="J4" i="5"/>
  <c r="B41" i="4"/>
  <c r="B53" i="4"/>
  <c r="A37" i="6"/>
  <c r="A55" i="2"/>
  <c r="A73" i="2"/>
  <c r="B9" i="3"/>
  <c r="A3" i="2"/>
  <c r="A20" i="2"/>
  <c r="B17" i="3"/>
  <c r="B25" i="3"/>
  <c r="C20" i="3"/>
  <c r="A75" i="2"/>
  <c r="C25" i="3"/>
  <c r="N4" i="5"/>
  <c r="A43" i="2"/>
  <c r="C3" i="3"/>
  <c r="C19" i="3"/>
  <c r="P4" i="5"/>
  <c r="A45" i="2"/>
  <c r="C4" i="3"/>
  <c r="B26" i="4"/>
  <c r="A14" i="6"/>
  <c r="A12" i="2"/>
  <c r="A29" i="2"/>
  <c r="A46" i="2"/>
  <c r="A63" i="2"/>
  <c r="B5" i="3"/>
  <c r="B13" i="3"/>
  <c r="B21" i="3"/>
  <c r="B29" i="3"/>
  <c r="B9" i="4"/>
  <c r="A5" i="6"/>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55" i="4"/>
  <c r="A17" i="2"/>
  <c r="A34" i="2"/>
  <c r="A52" i="2"/>
  <c r="A70" i="2"/>
  <c r="C7" i="3"/>
  <c r="C15" i="3"/>
  <c r="C23" i="3"/>
  <c r="C31" i="3"/>
  <c r="B15" i="4"/>
  <c r="A7" i="6"/>
  <c r="B28" i="4"/>
  <c r="B34" i="4"/>
  <c r="A21" i="6"/>
  <c r="B40" i="4"/>
  <c r="B58" i="4"/>
  <c r="A41" i="6"/>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c r="I74" i="4"/>
  <c r="K4" i="5"/>
  <c r="A15" i="2"/>
  <c r="A32" i="2"/>
  <c r="A50" i="2"/>
  <c r="A66" i="2"/>
  <c r="C6" i="3"/>
  <c r="C14" i="3"/>
  <c r="C22" i="3"/>
  <c r="C30" i="3"/>
  <c r="B27" i="4"/>
  <c r="A15" i="6"/>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A24" i="6"/>
  <c r="L4" i="5"/>
  <c r="A8" i="2"/>
  <c r="A16" i="2"/>
  <c r="A25" i="2"/>
  <c r="A33" i="2"/>
  <c r="A42" i="2"/>
  <c r="A51" i="2"/>
  <c r="A59" i="2"/>
  <c r="A68" i="2"/>
  <c r="B3" i="3"/>
  <c r="B7" i="3"/>
  <c r="B11" i="3"/>
  <c r="B15" i="3"/>
  <c r="B19" i="3"/>
  <c r="B23" i="3"/>
  <c r="B27" i="3"/>
  <c r="B31" i="3"/>
  <c r="B6" i="4"/>
  <c r="B14" i="4"/>
  <c r="B22" i="4"/>
  <c r="A12" i="6"/>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47" i="4"/>
  <c r="A32" i="6"/>
  <c r="B74" i="4"/>
  <c r="A53" i="6"/>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c r="B18" i="4"/>
  <c r="A10" i="6"/>
  <c r="G25" i="4"/>
  <c r="G31" i="4"/>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55" i="5"/>
  <c r="S83" i="5"/>
  <c r="S95" i="5"/>
  <c r="S161" i="5"/>
  <c r="S171"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129" i="5"/>
  <c r="S408" i="5"/>
  <c r="S111" i="5"/>
  <c r="S197" i="5"/>
  <c r="S187" i="5"/>
  <c r="S199" i="5"/>
  <c r="S352" i="5"/>
  <c r="S299" i="5"/>
  <c r="S389" i="5"/>
  <c r="S302" i="5"/>
  <c r="S404" i="5"/>
  <c r="S421" i="5"/>
  <c r="S464" i="5"/>
  <c r="S552" i="5"/>
  <c r="S586" i="5"/>
  <c r="S269" i="5"/>
  <c r="S479" i="5"/>
  <c r="S67" i="5"/>
  <c r="S143" i="5"/>
  <c r="S175" i="5"/>
  <c r="S57" i="5"/>
  <c r="S69" i="5"/>
  <c r="S89" i="5"/>
  <c r="S155" i="5"/>
  <c r="S157" i="5"/>
  <c r="S364" i="5"/>
  <c r="S304" i="5"/>
  <c r="S392" i="5"/>
  <c r="S348" i="5"/>
  <c r="S433" i="5"/>
  <c r="S444" i="5"/>
  <c r="S584" i="5"/>
  <c r="S59" i="5"/>
  <c r="S99" i="5"/>
  <c r="S81" i="5"/>
  <c r="S235" i="5"/>
  <c r="S271" i="5"/>
  <c r="S291" i="5"/>
  <c r="S396" i="5"/>
  <c r="S400" i="5"/>
  <c r="S405" i="5"/>
  <c r="S413" i="5"/>
  <c r="S453" i="5"/>
  <c r="S420" i="5"/>
  <c r="S448" i="5"/>
  <c r="S210" i="5"/>
  <c r="S7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G32" i="6"/>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42" i="6"/>
  <c r="G42" i="6"/>
  <c r="B40" i="6"/>
  <c r="G40" i="6"/>
  <c r="B50" i="6"/>
  <c r="G50" i="6"/>
  <c r="B25" i="6"/>
  <c r="G25" i="6"/>
  <c r="B35" i="6"/>
  <c r="G35" i="6"/>
  <c r="B49" i="6"/>
  <c r="G49" i="6"/>
  <c r="B29" i="6"/>
  <c r="G29" i="6"/>
  <c r="B24" i="6"/>
  <c r="G24" i="6"/>
  <c r="B47" i="6"/>
  <c r="G47"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c r="B26" i="6"/>
  <c r="G26" i="6"/>
  <c r="G21" i="6"/>
  <c r="H21" i="6"/>
  <c r="D21" i="6"/>
  <c r="B36" i="6"/>
  <c r="G36" i="6"/>
  <c r="G20" i="6"/>
  <c r="H20" i="6"/>
  <c r="D20" i="6"/>
  <c r="B45" i="6"/>
  <c r="G45" i="6"/>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F68" i="6"/>
  <c r="F32" i="6"/>
  <c r="H32" i="6"/>
  <c r="D32"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H87" i="5"/>
  <c r="E87" i="5"/>
  <c r="X87" i="5"/>
  <c r="F103" i="5"/>
  <c r="E103" i="5"/>
  <c r="X103" i="5"/>
  <c r="I175" i="5"/>
  <c r="E175" i="5"/>
  <c r="X175"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c r="H423" i="5"/>
  <c r="E423" i="5"/>
  <c r="X423" i="5"/>
  <c r="X52" i="5"/>
  <c r="X344" i="5"/>
  <c r="X53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E209" i="5"/>
  <c r="X209" i="5"/>
  <c r="J209" i="5"/>
  <c r="R209" i="5"/>
  <c r="F209" i="5"/>
  <c r="H209" i="5"/>
  <c r="I209" i="5"/>
  <c r="G1040" i="5"/>
  <c r="J1040" i="5"/>
  <c r="I1040" i="5"/>
  <c r="R1040" i="5"/>
  <c r="F1040" i="5"/>
  <c r="H1040" i="5"/>
  <c r="E1040" i="5"/>
  <c r="X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4" i="6" a="1"/>
  <c r="B67" i="4"/>
  <c r="A48" i="6"/>
  <c r="B75" i="4"/>
  <c r="A54" i="6"/>
  <c r="B85" i="4"/>
  <c r="A60" i="6"/>
  <c r="B37" i="4"/>
  <c r="A23" i="6"/>
  <c r="F42" i="6"/>
  <c r="H42" i="6"/>
  <c r="D42" i="6"/>
  <c r="B37" i="6"/>
  <c r="G37" i="6"/>
  <c r="B52" i="6"/>
  <c r="G52" i="6"/>
  <c r="H52" i="6"/>
  <c r="C32" i="6"/>
  <c r="F37" i="6"/>
  <c r="G22" i="6"/>
  <c r="H22" i="6"/>
  <c r="F47" i="6"/>
  <c r="H47" i="6"/>
  <c r="D47" i="6"/>
  <c r="C17" i="6"/>
  <c r="C27" i="6"/>
  <c r="C42" i="6"/>
  <c r="C21" i="6"/>
  <c r="B51" i="6"/>
  <c r="G51" i="6"/>
  <c r="C16" i="6"/>
  <c r="B31" i="6"/>
  <c r="G31" i="6"/>
  <c r="D16" i="6"/>
  <c r="F26" i="6"/>
  <c r="B81" i="4"/>
  <c r="A58" i="6"/>
  <c r="F66" i="6"/>
  <c r="F50" i="6"/>
  <c r="H50" i="6"/>
  <c r="D50" i="6"/>
  <c r="F30" i="6"/>
  <c r="H30" i="6"/>
  <c r="D30" i="6"/>
  <c r="H25" i="6"/>
  <c r="D25" i="6"/>
  <c r="F35" i="6"/>
  <c r="H35" i="6"/>
  <c r="D35" i="6"/>
  <c r="F40" i="6"/>
  <c r="H40" i="6"/>
  <c r="D40" i="6"/>
  <c r="F45" i="6"/>
  <c r="H45" i="6"/>
  <c r="D45" i="6"/>
  <c r="D15" i="6"/>
  <c r="K66" i="6"/>
  <c r="B49" i="4"/>
  <c r="A33" i="6"/>
  <c r="C20" i="6"/>
  <c r="B61" i="4"/>
  <c r="A43" i="6"/>
  <c r="B77" i="4"/>
  <c r="A55" i="6"/>
  <c r="B79" i="4"/>
  <c r="A57" i="6"/>
  <c r="B55" i="4"/>
  <c r="A38" i="6"/>
  <c r="C15" i="6"/>
  <c r="C35" i="6"/>
  <c r="D14" i="6"/>
  <c r="B44" i="6"/>
  <c r="G44" i="6"/>
  <c r="F24" i="6"/>
  <c r="C24" i="5"/>
  <c r="B31" i="4"/>
  <c r="A18" i="6"/>
  <c r="G19" i="6"/>
  <c r="H19" i="6"/>
  <c r="B39" i="6"/>
  <c r="G39" i="6"/>
  <c r="B83" i="4"/>
  <c r="A59" i="6"/>
  <c r="B89" i="4"/>
  <c r="A63" i="6"/>
  <c r="B87" i="4"/>
  <c r="A62" i="6"/>
  <c r="B43" i="4"/>
  <c r="A28" i="6"/>
  <c r="C14" i="6"/>
  <c r="C12" i="6"/>
  <c r="C11" i="6"/>
  <c r="B68" i="4"/>
  <c r="A49" i="6"/>
  <c r="B62" i="4"/>
  <c r="A44" i="6"/>
  <c r="B52" i="4"/>
  <c r="A36" i="6"/>
  <c r="C10" i="6"/>
  <c r="C9" i="6"/>
  <c r="B70" i="4"/>
  <c r="A51" i="6"/>
  <c r="A26" i="6"/>
  <c r="B32" i="4"/>
  <c r="A19" i="6"/>
  <c r="C8" i="6"/>
  <c r="D31" i="4"/>
  <c r="A27" i="6"/>
  <c r="C7" i="6"/>
  <c r="D43" i="4"/>
  <c r="D74" i="4"/>
  <c r="D37" i="4"/>
  <c r="D61" i="4"/>
  <c r="D49" i="4"/>
  <c r="D67" i="4"/>
  <c r="B59" i="4"/>
  <c r="A42" i="6"/>
  <c r="B71" i="4"/>
  <c r="A52" i="6"/>
  <c r="B56" i="4"/>
  <c r="A39" i="6"/>
  <c r="C45" i="5"/>
  <c r="B51" i="4"/>
  <c r="A35" i="6"/>
  <c r="B63" i="4"/>
  <c r="A45" i="6"/>
  <c r="A25" i="6"/>
  <c r="B50" i="4"/>
  <c r="A34" i="6"/>
  <c r="B69" i="4"/>
  <c r="A50" i="6"/>
  <c r="C6" i="6"/>
  <c r="A16" i="6"/>
  <c r="B33" i="4"/>
  <c r="A20" i="6"/>
  <c r="C5" i="6"/>
  <c r="B65" i="4"/>
  <c r="A47" i="6"/>
  <c r="C4" i="6"/>
  <c r="C47" i="5"/>
  <c r="B35" i="4"/>
  <c r="A22" i="6"/>
  <c r="G74" i="4"/>
  <c r="C33" i="5"/>
  <c r="C44" i="5"/>
  <c r="G67" i="4"/>
  <c r="C32" i="5"/>
  <c r="C23" i="5"/>
  <c r="G55" i="4"/>
  <c r="G37" i="4"/>
  <c r="C25" i="5"/>
  <c r="B47" i="5"/>
  <c r="G43" i="4"/>
  <c r="G49" i="4"/>
  <c r="C15" i="5"/>
  <c r="B40" i="5"/>
  <c r="G61" i="4"/>
  <c r="C14" i="5"/>
  <c r="B33" i="5"/>
  <c r="B26" i="5"/>
  <c r="B19" i="5"/>
  <c r="B12" i="5"/>
  <c r="C31" i="5"/>
  <c r="C13" i="5"/>
  <c r="C43" i="5"/>
  <c r="C21" i="5"/>
  <c r="C30" i="5"/>
  <c r="C12" i="5"/>
  <c r="B46" i="5"/>
  <c r="B39" i="5"/>
  <c r="B32" i="5"/>
  <c r="B25" i="5"/>
  <c r="B18" i="5"/>
  <c r="B11" i="5"/>
  <c r="C28" i="5"/>
  <c r="C11" i="5"/>
  <c r="C40" i="5"/>
  <c r="C20" i="5"/>
  <c r="C51" i="5"/>
  <c r="C27" i="5"/>
  <c r="C10" i="5"/>
  <c r="B45" i="5"/>
  <c r="B38" i="5"/>
  <c r="B31" i="5"/>
  <c r="B24" i="5"/>
  <c r="B17" i="5"/>
  <c r="B10" i="5"/>
  <c r="C49" i="5"/>
  <c r="C26" i="5"/>
  <c r="C9" i="5"/>
  <c r="C37" i="5"/>
  <c r="C8" i="5"/>
  <c r="B51" i="5"/>
  <c r="B44" i="5"/>
  <c r="B37" i="5"/>
  <c r="B30" i="5"/>
  <c r="B23" i="5"/>
  <c r="B16" i="5"/>
  <c r="B9" i="5"/>
  <c r="C50" i="5"/>
  <c r="C36" i="5"/>
  <c r="B64" i="4"/>
  <c r="A46" i="6"/>
  <c r="C42" i="5"/>
  <c r="C22" i="5"/>
  <c r="C7" i="5"/>
  <c r="B50" i="5"/>
  <c r="B43" i="5"/>
  <c r="B36" i="5"/>
  <c r="B29" i="5"/>
  <c r="B22" i="5"/>
  <c r="B15" i="5"/>
  <c r="V15" i="5"/>
  <c r="B8" i="5"/>
  <c r="C41" i="5"/>
  <c r="C19" i="5"/>
  <c r="C48" i="5"/>
  <c r="C34" i="5"/>
  <c r="C39" i="5"/>
  <c r="C18" i="5"/>
  <c r="C6" i="5"/>
  <c r="B49" i="5"/>
  <c r="B42" i="5"/>
  <c r="B35" i="5"/>
  <c r="B28" i="5"/>
  <c r="B21" i="5"/>
  <c r="B14" i="5"/>
  <c r="B7" i="5"/>
  <c r="C38" i="5"/>
  <c r="C17" i="5"/>
  <c r="C46" i="5"/>
  <c r="C29" i="5"/>
  <c r="C35" i="5"/>
  <c r="C16" i="5"/>
  <c r="B48" i="5"/>
  <c r="B41" i="5"/>
  <c r="B34" i="5"/>
  <c r="B27" i="5"/>
  <c r="B20" i="5"/>
  <c r="B13" i="5"/>
  <c r="B6" i="5"/>
  <c r="C5" i="5"/>
  <c r="C50" i="6"/>
  <c r="C30" i="6"/>
  <c r="C25" i="6"/>
  <c r="K68" i="6"/>
  <c r="D22" i="6"/>
  <c r="C22" i="6"/>
  <c r="D52" i="6"/>
  <c r="C52" i="6"/>
  <c r="H37" i="6"/>
  <c r="C47" i="6"/>
  <c r="F67" i="6"/>
  <c r="F31" i="6"/>
  <c r="H31" i="6"/>
  <c r="F36" i="6"/>
  <c r="H36" i="6"/>
  <c r="F46" i="6"/>
  <c r="H46" i="6"/>
  <c r="F41" i="6"/>
  <c r="H41" i="6"/>
  <c r="H26" i="6"/>
  <c r="F51" i="6"/>
  <c r="H51" i="6"/>
  <c r="C45" i="6"/>
  <c r="C40" i="6"/>
  <c r="D19" i="6"/>
  <c r="K65" i="6"/>
  <c r="C19" i="6"/>
  <c r="F44" i="6"/>
  <c r="H44" i="6"/>
  <c r="F65" i="6"/>
  <c r="F54" i="6"/>
  <c r="F34" i="6"/>
  <c r="H34" i="6"/>
  <c r="F39" i="6"/>
  <c r="H39" i="6"/>
  <c r="F49" i="6"/>
  <c r="H49" i="6"/>
  <c r="F29" i="6"/>
  <c r="H29" i="6"/>
  <c r="H24" i="6"/>
  <c r="AB40" i="5"/>
  <c r="AB47" i="5"/>
  <c r="V33" i="5"/>
  <c r="R33" i="5"/>
  <c r="AB33" i="5"/>
  <c r="V47" i="5"/>
  <c r="E15" i="5"/>
  <c r="X15" i="5"/>
  <c r="R15" i="5"/>
  <c r="F15" i="5"/>
  <c r="H15" i="5"/>
  <c r="I15" i="5"/>
  <c r="J15" i="5"/>
  <c r="G15" i="5"/>
  <c r="AB36" i="5"/>
  <c r="AB48" i="5"/>
  <c r="V6" i="5"/>
  <c r="G6" i="5"/>
  <c r="AB50" i="5"/>
  <c r="AB37" i="5"/>
  <c r="AB38" i="5"/>
  <c r="AB39" i="5"/>
  <c r="AB32" i="5"/>
  <c r="V16" i="5"/>
  <c r="G16" i="5"/>
  <c r="V18" i="5"/>
  <c r="V7" i="5"/>
  <c r="AB44" i="5"/>
  <c r="V45" i="5"/>
  <c r="AB45" i="5"/>
  <c r="AB46" i="5"/>
  <c r="AB31" i="5"/>
  <c r="V35" i="5"/>
  <c r="G35" i="5"/>
  <c r="V39" i="5"/>
  <c r="G39" i="5"/>
  <c r="V22" i="5"/>
  <c r="AB51" i="5"/>
  <c r="V10" i="5"/>
  <c r="G10" i="5"/>
  <c r="V12" i="5"/>
  <c r="AB12" i="5"/>
  <c r="AB43" i="5"/>
  <c r="V29" i="5"/>
  <c r="G29" i="5"/>
  <c r="V34" i="5"/>
  <c r="G34" i="5"/>
  <c r="V42" i="5"/>
  <c r="G42" i="5"/>
  <c r="V8" i="5"/>
  <c r="G8" i="5"/>
  <c r="V27" i="5"/>
  <c r="V30" i="5"/>
  <c r="G30" i="5"/>
  <c r="AB34" i="5"/>
  <c r="AB30" i="5"/>
  <c r="V46" i="5"/>
  <c r="V48" i="5"/>
  <c r="V51" i="5"/>
  <c r="G51" i="5"/>
  <c r="V21" i="5"/>
  <c r="G21" i="5"/>
  <c r="AB23" i="5"/>
  <c r="V17" i="5"/>
  <c r="G17" i="5"/>
  <c r="V19" i="5"/>
  <c r="G19" i="5"/>
  <c r="AB19" i="5"/>
  <c r="V37" i="5"/>
  <c r="G37" i="5"/>
  <c r="V43" i="5"/>
  <c r="G43" i="5"/>
  <c r="AB49" i="5"/>
  <c r="V38" i="5"/>
  <c r="G38" i="5"/>
  <c r="V41" i="5"/>
  <c r="G41" i="5"/>
  <c r="V9" i="5"/>
  <c r="G9" i="5"/>
  <c r="V20" i="5"/>
  <c r="G20" i="5"/>
  <c r="V13" i="5"/>
  <c r="V25" i="5"/>
  <c r="AB25" i="5"/>
  <c r="AB7" i="5"/>
  <c r="V36" i="5"/>
  <c r="V26" i="5"/>
  <c r="G26" i="5"/>
  <c r="AB26" i="5"/>
  <c r="V40" i="5"/>
  <c r="V31" i="5"/>
  <c r="G31" i="5"/>
  <c r="V23" i="5"/>
  <c r="AB41" i="5"/>
  <c r="AB6" i="5"/>
  <c r="AB14" i="5"/>
  <c r="V14" i="5"/>
  <c r="AB8" i="5"/>
  <c r="V50" i="5"/>
  <c r="G50" i="5"/>
  <c r="V49" i="5"/>
  <c r="G49" i="5"/>
  <c r="V11" i="5"/>
  <c r="V32" i="5"/>
  <c r="V24" i="5"/>
  <c r="AB24" i="5"/>
  <c r="AB13" i="5"/>
  <c r="AB21" i="5"/>
  <c r="AB15" i="5"/>
  <c r="V28" i="5"/>
  <c r="V44" i="5"/>
  <c r="AB42" i="5"/>
  <c r="AB20" i="5"/>
  <c r="AB28" i="5"/>
  <c r="AB22" i="5"/>
  <c r="AB9" i="5"/>
  <c r="AB10" i="5"/>
  <c r="AB11" i="5"/>
  <c r="AB27" i="5"/>
  <c r="AB35" i="5"/>
  <c r="AB29" i="5"/>
  <c r="AB16" i="5"/>
  <c r="AB17" i="5"/>
  <c r="AB18" i="5"/>
  <c r="V5" i="5"/>
  <c r="F69" i="6"/>
  <c r="C69" i="6"/>
  <c r="AB5" i="5"/>
  <c r="H64" i="6"/>
  <c r="B64" i="6"/>
  <c r="S15" i="5"/>
  <c r="D37" i="6"/>
  <c r="C37" i="6"/>
  <c r="D51" i="6"/>
  <c r="C51" i="6"/>
  <c r="D26" i="6"/>
  <c r="C26" i="6"/>
  <c r="D41" i="6"/>
  <c r="C41" i="6"/>
  <c r="D46" i="6"/>
  <c r="C46" i="6"/>
  <c r="D36" i="6"/>
  <c r="C36" i="6"/>
  <c r="D31" i="6"/>
  <c r="C31" i="6"/>
  <c r="D29" i="6"/>
  <c r="C29" i="6"/>
  <c r="I33" i="5"/>
  <c r="D49" i="6"/>
  <c r="C49" i="6"/>
  <c r="D39" i="6"/>
  <c r="C39" i="6"/>
  <c r="D34" i="6"/>
  <c r="C34" i="6"/>
  <c r="C2" i="6"/>
  <c r="B2" i="6"/>
  <c r="D44" i="6"/>
  <c r="C44" i="6"/>
  <c r="D24" i="6"/>
  <c r="C24" i="6"/>
  <c r="F59" i="6"/>
  <c r="H59" i="6"/>
  <c r="F57" i="6"/>
  <c r="H57" i="6"/>
  <c r="F63" i="6"/>
  <c r="H63" i="6"/>
  <c r="F55" i="6"/>
  <c r="H54" i="6"/>
  <c r="F62" i="6"/>
  <c r="H62" i="6"/>
  <c r="F60" i="6"/>
  <c r="H60" i="6"/>
  <c r="F58" i="6"/>
  <c r="H58" i="6"/>
  <c r="G33" i="5"/>
  <c r="H33" i="5"/>
  <c r="F33" i="5"/>
  <c r="J33" i="5"/>
  <c r="E33" i="5"/>
  <c r="X33" i="5"/>
  <c r="I47" i="5"/>
  <c r="R47" i="5"/>
  <c r="F47" i="5"/>
  <c r="H47" i="5"/>
  <c r="J47" i="5"/>
  <c r="E47" i="5"/>
  <c r="G47" i="5"/>
  <c r="R36" i="5"/>
  <c r="E36" i="5"/>
  <c r="F36" i="5"/>
  <c r="H36" i="5"/>
  <c r="J36" i="5"/>
  <c r="I36" i="5"/>
  <c r="E29" i="5"/>
  <c r="R29" i="5"/>
  <c r="F29" i="5"/>
  <c r="I29" i="5"/>
  <c r="H29" i="5"/>
  <c r="J29" i="5"/>
  <c r="J49" i="5"/>
  <c r="F49" i="5"/>
  <c r="E49" i="5"/>
  <c r="I49" i="5"/>
  <c r="R49" i="5"/>
  <c r="H49" i="5"/>
  <c r="R21" i="5"/>
  <c r="E21" i="5"/>
  <c r="F21" i="5"/>
  <c r="H21" i="5"/>
  <c r="J21" i="5"/>
  <c r="I21" i="5"/>
  <c r="E9" i="5"/>
  <c r="I9" i="5"/>
  <c r="H9" i="5"/>
  <c r="R9" i="5"/>
  <c r="F9" i="5"/>
  <c r="J9" i="5"/>
  <c r="E39" i="5"/>
  <c r="I39" i="5"/>
  <c r="R39" i="5"/>
  <c r="F39" i="5"/>
  <c r="H39" i="5"/>
  <c r="J39" i="5"/>
  <c r="E50" i="5"/>
  <c r="J50" i="5"/>
  <c r="F50" i="5"/>
  <c r="R50" i="5"/>
  <c r="H50" i="5"/>
  <c r="I50" i="5"/>
  <c r="E23" i="5"/>
  <c r="H23" i="5"/>
  <c r="J23" i="5"/>
  <c r="F23" i="5"/>
  <c r="I23" i="5"/>
  <c r="R23" i="5"/>
  <c r="G23" i="5"/>
  <c r="E35" i="5"/>
  <c r="F35" i="5"/>
  <c r="H35" i="5"/>
  <c r="R35" i="5"/>
  <c r="J35" i="5"/>
  <c r="I35" i="5"/>
  <c r="E22" i="5"/>
  <c r="H22" i="5"/>
  <c r="F22" i="5"/>
  <c r="J22" i="5"/>
  <c r="R22" i="5"/>
  <c r="I22" i="5"/>
  <c r="R7" i="5"/>
  <c r="J7" i="5"/>
  <c r="E7" i="5"/>
  <c r="I7" i="5"/>
  <c r="F7" i="5"/>
  <c r="H7" i="5"/>
  <c r="H41" i="5"/>
  <c r="J41" i="5"/>
  <c r="E41" i="5"/>
  <c r="F41" i="5"/>
  <c r="R41" i="5"/>
  <c r="I41" i="5"/>
  <c r="E31" i="5"/>
  <c r="H31" i="5"/>
  <c r="R31" i="5"/>
  <c r="F31" i="5"/>
  <c r="I31" i="5"/>
  <c r="J31" i="5"/>
  <c r="E37" i="5"/>
  <c r="F37" i="5"/>
  <c r="J37" i="5"/>
  <c r="H37" i="5"/>
  <c r="R37" i="5"/>
  <c r="I37" i="5"/>
  <c r="R48" i="5"/>
  <c r="H48" i="5"/>
  <c r="J48" i="5"/>
  <c r="I48" i="5"/>
  <c r="E48" i="5"/>
  <c r="F48" i="5"/>
  <c r="E27" i="5"/>
  <c r="J27" i="5"/>
  <c r="I27" i="5"/>
  <c r="F27" i="5"/>
  <c r="H27" i="5"/>
  <c r="R27" i="5"/>
  <c r="E12" i="5"/>
  <c r="F12" i="5"/>
  <c r="J12" i="5"/>
  <c r="R12" i="5"/>
  <c r="H12" i="5"/>
  <c r="I12" i="5"/>
  <c r="G7" i="5"/>
  <c r="G22" i="5"/>
  <c r="E51" i="5"/>
  <c r="I51" i="5"/>
  <c r="J51" i="5"/>
  <c r="R51" i="5"/>
  <c r="F51" i="5"/>
  <c r="H51" i="5"/>
  <c r="E38" i="5"/>
  <c r="J38" i="5"/>
  <c r="F38" i="5"/>
  <c r="R38" i="5"/>
  <c r="H38" i="5"/>
  <c r="I38" i="5"/>
  <c r="I40" i="5"/>
  <c r="R40" i="5"/>
  <c r="E40" i="5"/>
  <c r="F40" i="5"/>
  <c r="J40" i="5"/>
  <c r="H40" i="5"/>
  <c r="G48" i="5"/>
  <c r="G27" i="5"/>
  <c r="G12" i="5"/>
  <c r="H18" i="5"/>
  <c r="E18" i="5"/>
  <c r="J18" i="5"/>
  <c r="R18" i="5"/>
  <c r="F18" i="5"/>
  <c r="I18" i="5"/>
  <c r="E11" i="5"/>
  <c r="F11" i="5"/>
  <c r="J11" i="5"/>
  <c r="R11" i="5"/>
  <c r="H11" i="5"/>
  <c r="I11" i="5"/>
  <c r="G36" i="5"/>
  <c r="E44" i="5"/>
  <c r="I44" i="5"/>
  <c r="J44" i="5"/>
  <c r="H44" i="5"/>
  <c r="R44" i="5"/>
  <c r="F44" i="5"/>
  <c r="G44" i="5"/>
  <c r="E25" i="5"/>
  <c r="G25" i="5"/>
  <c r="F25" i="5"/>
  <c r="J25" i="5"/>
  <c r="R25" i="5"/>
  <c r="I25" i="5"/>
  <c r="H25" i="5"/>
  <c r="J19" i="5"/>
  <c r="R19" i="5"/>
  <c r="H19" i="5"/>
  <c r="F19" i="5"/>
  <c r="I19" i="5"/>
  <c r="E19" i="5"/>
  <c r="F8" i="5"/>
  <c r="E8" i="5"/>
  <c r="R8" i="5"/>
  <c r="H8" i="5"/>
  <c r="I8" i="5"/>
  <c r="J8" i="5"/>
  <c r="G18" i="5"/>
  <c r="E24" i="5"/>
  <c r="F24" i="5"/>
  <c r="G24" i="5"/>
  <c r="I24" i="5"/>
  <c r="H24" i="5"/>
  <c r="R24" i="5"/>
  <c r="J24" i="5"/>
  <c r="E14" i="5"/>
  <c r="F14" i="5"/>
  <c r="H14" i="5"/>
  <c r="I14" i="5"/>
  <c r="R14" i="5"/>
  <c r="J14" i="5"/>
  <c r="G14" i="5"/>
  <c r="G40" i="5"/>
  <c r="F46" i="5"/>
  <c r="E46" i="5"/>
  <c r="H46" i="5"/>
  <c r="J46" i="5"/>
  <c r="R46" i="5"/>
  <c r="I46" i="5"/>
  <c r="E10" i="5"/>
  <c r="H10" i="5"/>
  <c r="I10" i="5"/>
  <c r="J10" i="5"/>
  <c r="F10" i="5"/>
  <c r="R10" i="5"/>
  <c r="I28" i="5"/>
  <c r="H28" i="5"/>
  <c r="E28" i="5"/>
  <c r="R28" i="5"/>
  <c r="F28" i="5"/>
  <c r="J28" i="5"/>
  <c r="G28" i="5"/>
  <c r="E13" i="5"/>
  <c r="F13" i="5"/>
  <c r="H13" i="5"/>
  <c r="J13" i="5"/>
  <c r="R13" i="5"/>
  <c r="I13" i="5"/>
  <c r="G46" i="5"/>
  <c r="E16" i="5"/>
  <c r="H16" i="5"/>
  <c r="R16" i="5"/>
  <c r="I16" i="5"/>
  <c r="F16" i="5"/>
  <c r="J16" i="5"/>
  <c r="G45" i="5"/>
  <c r="E45" i="5"/>
  <c r="F45" i="5"/>
  <c r="H45" i="5"/>
  <c r="J45" i="5"/>
  <c r="I45" i="5"/>
  <c r="R45" i="5"/>
  <c r="E32" i="5"/>
  <c r="F32" i="5"/>
  <c r="I32" i="5"/>
  <c r="J32" i="5"/>
  <c r="H32" i="5"/>
  <c r="R32" i="5"/>
  <c r="G32" i="5"/>
  <c r="F26" i="5"/>
  <c r="E26" i="5"/>
  <c r="J26" i="5"/>
  <c r="H26" i="5"/>
  <c r="R26" i="5"/>
  <c r="I26" i="5"/>
  <c r="G13" i="5"/>
  <c r="F43" i="5"/>
  <c r="E43" i="5"/>
  <c r="H43" i="5"/>
  <c r="I43" i="5"/>
  <c r="J43" i="5"/>
  <c r="R43" i="5"/>
  <c r="E42" i="5"/>
  <c r="J42" i="5"/>
  <c r="F42" i="5"/>
  <c r="R42" i="5"/>
  <c r="H42" i="5"/>
  <c r="I42" i="5"/>
  <c r="E30" i="5"/>
  <c r="F30" i="5"/>
  <c r="H30" i="5"/>
  <c r="R30" i="5"/>
  <c r="I30" i="5"/>
  <c r="J30" i="5"/>
  <c r="G11" i="5"/>
  <c r="I20" i="5"/>
  <c r="R20" i="5"/>
  <c r="E20" i="5"/>
  <c r="F20" i="5"/>
  <c r="J20" i="5"/>
  <c r="H20" i="5"/>
  <c r="E17" i="5"/>
  <c r="I17" i="5"/>
  <c r="J17" i="5"/>
  <c r="R17" i="5"/>
  <c r="F17" i="5"/>
  <c r="H17" i="5"/>
  <c r="E34" i="5"/>
  <c r="H34" i="5"/>
  <c r="R34" i="5"/>
  <c r="I34" i="5"/>
  <c r="J34" i="5"/>
  <c r="F34" i="5"/>
  <c r="F6" i="5"/>
  <c r="I6" i="5"/>
  <c r="H6" i="5"/>
  <c r="E6" i="5"/>
  <c r="R6" i="5"/>
  <c r="J6" i="5"/>
  <c r="E5" i="5"/>
  <c r="H5" i="5"/>
  <c r="I5" i="5"/>
  <c r="R5" i="5"/>
  <c r="J5" i="5"/>
  <c r="F5" i="5"/>
  <c r="G5" i="5"/>
  <c r="G67" i="6"/>
  <c r="H67" i="6"/>
  <c r="G66" i="6"/>
  <c r="H66" i="6"/>
  <c r="G68" i="6"/>
  <c r="H68" i="6"/>
  <c r="G65" i="6"/>
  <c r="H65" i="6"/>
  <c r="C64" i="6"/>
  <c r="D64" i="6"/>
  <c r="S47" i="5"/>
  <c r="T47" i="5"/>
  <c r="T15" i="5"/>
  <c r="S33" i="5"/>
  <c r="D58" i="6"/>
  <c r="C58" i="6"/>
  <c r="D60" i="6"/>
  <c r="C60" i="6"/>
  <c r="D62" i="6"/>
  <c r="C62" i="6"/>
  <c r="D59" i="6"/>
  <c r="C59" i="6"/>
  <c r="D63" i="6"/>
  <c r="C63" i="6"/>
  <c r="D54" i="6"/>
  <c r="C54" i="6"/>
  <c r="F56" i="6"/>
  <c r="H56" i="6"/>
  <c r="H55" i="6"/>
  <c r="D57" i="6"/>
  <c r="C57" i="6"/>
  <c r="X41" i="5"/>
  <c r="X47" i="5"/>
  <c r="X17" i="5"/>
  <c r="X37" i="5"/>
  <c r="S9" i="5"/>
  <c r="X9" i="5"/>
  <c r="X26" i="5"/>
  <c r="X45" i="5"/>
  <c r="X13" i="5"/>
  <c r="X8" i="5"/>
  <c r="X25" i="5"/>
  <c r="X11" i="5"/>
  <c r="X7" i="5"/>
  <c r="X35" i="5"/>
  <c r="X10" i="5"/>
  <c r="X14" i="5"/>
  <c r="X48" i="5"/>
  <c r="X29" i="5"/>
  <c r="X6" i="5"/>
  <c r="X40" i="5"/>
  <c r="X51" i="5"/>
  <c r="X27" i="5"/>
  <c r="X50" i="5"/>
  <c r="X20" i="5"/>
  <c r="S20" i="5"/>
  <c r="X42" i="5"/>
  <c r="X19" i="5"/>
  <c r="X21" i="5"/>
  <c r="X31" i="5"/>
  <c r="X30" i="5"/>
  <c r="X18" i="5"/>
  <c r="X39" i="5"/>
  <c r="X34" i="5"/>
  <c r="X28" i="5"/>
  <c r="X46" i="5"/>
  <c r="X36" i="5"/>
  <c r="X43" i="5"/>
  <c r="X16" i="5"/>
  <c r="X44" i="5"/>
  <c r="X38" i="5"/>
  <c r="X12" i="5"/>
  <c r="X23" i="5"/>
  <c r="X49" i="5"/>
  <c r="X32" i="5"/>
  <c r="X24" i="5"/>
  <c r="X22" i="5"/>
  <c r="C65" i="6"/>
  <c r="D65" i="6"/>
  <c r="D68" i="6"/>
  <c r="C68" i="6"/>
  <c r="D67" i="6"/>
  <c r="C67" i="6"/>
  <c r="C66" i="6"/>
  <c r="D66" i="6"/>
  <c r="G69" i="6" a="1"/>
  <c r="H69" i="6"/>
  <c r="H70" i="6"/>
  <c r="D2" i="6"/>
  <c r="X5" i="5"/>
  <c r="S41" i="5"/>
  <c r="T33" i="5"/>
  <c r="S29" i="5"/>
  <c r="S46" i="5"/>
  <c r="S38" i="5"/>
  <c r="S22" i="5"/>
  <c r="S42" i="5"/>
  <c r="S30" i="5"/>
  <c r="S28" i="5"/>
  <c r="S35" i="5"/>
  <c r="S45" i="5"/>
  <c r="S31" i="5"/>
  <c r="T20" i="5"/>
  <c r="S17" i="5"/>
  <c r="S13" i="5"/>
  <c r="S39" i="5"/>
  <c r="S12" i="5"/>
  <c r="S50" i="5"/>
  <c r="S6" i="5"/>
  <c r="S36" i="5"/>
  <c r="S23" i="5"/>
  <c r="S24" i="5"/>
  <c r="S18" i="5"/>
  <c r="S8" i="5"/>
  <c r="S44" i="5"/>
  <c r="S26" i="5"/>
  <c r="S40" i="5"/>
  <c r="S19" i="5"/>
  <c r="S49" i="5"/>
  <c r="S37" i="5"/>
  <c r="S11" i="5"/>
  <c r="S14" i="5"/>
  <c r="S51" i="5"/>
  <c r="S25" i="5"/>
  <c r="S10" i="5"/>
  <c r="S34" i="5"/>
  <c r="S43" i="5"/>
  <c r="S32" i="5"/>
  <c r="S21" i="5"/>
  <c r="S16" i="5"/>
  <c r="S7" i="5"/>
  <c r="S48" i="5"/>
  <c r="S27" i="5"/>
  <c r="T9" i="5"/>
  <c r="S5" i="5"/>
  <c r="D55" i="6"/>
  <c r="C55" i="6"/>
  <c r="D56" i="6"/>
  <c r="C56" i="6"/>
  <c r="T41" i="5"/>
  <c r="T27" i="5"/>
  <c r="T48" i="5"/>
  <c r="T19" i="5"/>
  <c r="T17" i="5"/>
  <c r="T45" i="5"/>
  <c r="T7" i="5"/>
  <c r="T40" i="5"/>
  <c r="T31" i="5"/>
  <c r="T16" i="5"/>
  <c r="T26" i="5"/>
  <c r="T21" i="5"/>
  <c r="T44" i="5"/>
  <c r="T35" i="5"/>
  <c r="T32" i="5"/>
  <c r="T8" i="5"/>
  <c r="T28" i="5"/>
  <c r="T43" i="5"/>
  <c r="T18" i="5"/>
  <c r="T30" i="5"/>
  <c r="T42" i="5"/>
  <c r="T6" i="5"/>
  <c r="T34" i="5"/>
  <c r="T24" i="5"/>
  <c r="T29" i="5"/>
  <c r="T10" i="5"/>
  <c r="T23" i="5"/>
  <c r="T22" i="5"/>
  <c r="T37" i="5"/>
  <c r="T39" i="5"/>
  <c r="T25" i="5"/>
  <c r="T36" i="5"/>
  <c r="T38" i="5"/>
  <c r="T50" i="5"/>
  <c r="T12" i="5"/>
  <c r="T49" i="5"/>
  <c r="T13" i="5"/>
  <c r="T51" i="5"/>
  <c r="T46" i="5"/>
  <c r="T11" i="5"/>
  <c r="T14" i="5"/>
  <c r="T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<sst xmlns="http://schemas.openxmlformats.org/spreadsheetml/2006/main" count="22582" uniqueCount="15886">
  <si>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</si>
  <si>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</si>
  <si>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</si>
  <si>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</si>
  <si>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</si>
  <si>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</si>
  <si>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</si>
  <si>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</si>
  <si>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</si>
  <si>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</si>
  <si>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</si>
  <si>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</si>
  <si>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</si>
  <si>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</si>
  <si>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</si>
  <si>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</si>
  <si>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</si>
  <si>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</si>
  <si>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</si>
  <si>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</si>
  <si>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</si>
  <si>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</si>
  <si>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</si>
  <si>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</si>
  <si>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</si>
  <si>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</si>
  <si>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</si>
  <si>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</si>
  <si>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</si>
  <si>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</si>
  <si>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</si>
  <si>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</si>
  <si>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</si>
  <si>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</si>
  <si>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</si>
  <si>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</si>
  <si>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</si>
  <si>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</si>
  <si>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</si>
  <si>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</si>
  <si>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</si>
  <si>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</si>
  <si>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</si>
  <si>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</si>
  <si>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</si>
  <si>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</si>
  <si>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</si>
  <si>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</si>
  <si>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</si>
  <si>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</si>
  <si>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</si>
  <si>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</si>
  <si>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</si>
  <si>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</si>
  <si>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</si>
  <si>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</si>
  <si>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</si>
  <si>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</si>
  <si>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</si>
  <si>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</si>
  <si>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</si>
  <si>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</si>
  <si>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</si>
  <si>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</si>
  <si>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</si>
  <si>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</si>
  <si>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</si>
  <si>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</si>
  <si>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</si>
  <si>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</si>
  <si>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</si>
  <si>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</si>
  <si>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</si>
  <si>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</si>
  <si>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</si>
  <si>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</si>
  <si>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</si>
  <si>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</si>
  <si>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</si>
  <si>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</si>
  <si>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</si>
  <si>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</si>
  <si>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</si>
  <si>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</si>
  <si>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</si>
  <si>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</si>
  <si>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</si>
  <si>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</si>
  <si>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</si>
  <si>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</si>
  <si>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</si>
  <si>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</si>
  <si>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</si>
  <si>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</si>
  <si>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</si>
  <si>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</si>
  <si>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</si>
  <si>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</si>
  <si>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</si>
  <si>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</si>
  <si>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</si>
  <si>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</si>
  <si>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</si>
  <si>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</si>
  <si>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</si>
  <si>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</si>
  <si>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</si>
  <si>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</si>
  <si>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</si>
  <si>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</si>
  <si>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</si>
  <si>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</si>
  <si>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</si>
  <si>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</si>
  <si>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</si>
  <si>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</si>
  <si>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</si>
  <si>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</si>
  <si>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</si>
  <si>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</si>
  <si>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</si>
  <si>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</si>
  <si>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</si>
  <si>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</si>
  <si>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</si>
  <si>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</si>
  <si>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</si>
  <si>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</si>
  <si>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</si>
  <si>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</si>
  <si>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</si>
  <si>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</si>
  <si>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</si>
  <si>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</si>
  <si>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</si>
  <si>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</si>
  <si>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</si>
  <si>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</si>
  <si>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</si>
  <si>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</si>
  <si>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</si>
  <si>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</si>
  <si>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</si>
  <si>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</si>
  <si>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</si>
  <si>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</si>
  <si>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</si>
  <si>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</si>
  <si>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</si>
  <si>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</si>
  <si>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</si>
  <si>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</si>
  <si>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</si>
  <si>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</si>
  <si>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</si>
  <si>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</si>
  <si>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</si>
  <si>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</si>
  <si>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</si>
  <si>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</si>
  <si>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</si>
  <si>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</si>
  <si>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</si>
  <si>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</si>
  <si>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</si>
  <si>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</si>
  <si>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</si>
  <si>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</si>
  <si>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</si>
  <si>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</si>
  <si>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</si>
  <si>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</si>
  <si>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</si>
  <si>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</si>
  <si>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</si>
  <si>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</si>
  <si>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</si>
  <si>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</si>
  <si>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</si>
  <si>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</si>
  <si>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</si>
  <si>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</si>
  <si>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</si>
  <si>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</si>
  <si>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</si>
  <si>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</si>
  <si>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</si>
  <si>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</si>
  <si>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</si>
  <si>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</si>
  <si>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</si>
  <si>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</si>
  <si>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</si>
  <si>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</si>
  <si>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</si>
  <si>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</si>
  <si>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</si>
  <si>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</si>
  <si>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</si>
  <si>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</si>
  <si>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</si>
  <si>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</si>
  <si>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</si>
  <si>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</si>
  <si>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</si>
  <si>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</si>
  <si>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</si>
  <si>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</si>
  <si>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</si>
  <si>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</si>
  <si>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</si>
  <si>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</si>
  <si>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</si>
  <si>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</si>
  <si>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</si>
  <si>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</si>
  <si>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</si>
  <si>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</si>
  <si>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</si>
  <si>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</si>
  <si>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</si>
  <si>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</si>
  <si>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</si>
  <si>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</si>
  <si>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</si>
  <si>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</si>
  <si>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</si>
  <si>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</si>
  <si>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</si>
  <si>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</si>
  <si>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</si>
  <si>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</si>
  <si>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</si>
  <si>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</si>
  <si>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</si>
  <si>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</si>
  <si>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</si>
  <si>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</si>
  <si>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</si>
  <si>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</si>
  <si>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</si>
  <si>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</si>
  <si>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</si>
  <si>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</si>
  <si>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</si>
  <si>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</si>
  <si>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</si>
  <si>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</si>
  <si>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</si>
  <si>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</si>
  <si>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</si>
  <si>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</si>
  <si>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</si>
  <si>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</si>
  <si>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</si>
  <si>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</si>
  <si>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</si>
  <si>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</si>
  <si>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</si>
  <si>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</si>
  <si>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</si>
  <si>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</si>
  <si>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</si>
  <si>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</si>
  <si>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</si>
  <si>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</si>
  <si>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</si>
  <si>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</si>
  <si>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</si>
  <si>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</si>
  <si>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</si>
  <si>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</si>
  <si>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</si>
  <si>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</si>
  <si>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</si>
  <si>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</si>
  <si>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</si>
  <si>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</si>
  <si>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</si>
  <si>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</si>
  <si>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</si>
  <si>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</si>
  <si>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</si>
  <si>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</si>
  <si>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</si>
  <si>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</si>
  <si>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</si>
  <si>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</si>
  <si>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</si>
  <si>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</si>
  <si>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</si>
  <si>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</si>
  <si>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</si>
  <si>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</si>
  <si>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</si>
  <si>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</si>
  <si>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</si>
  <si>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</si>
  <si>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</si>
  <si>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</si>
  <si>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</si>
  <si>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</si>
  <si>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</si>
  <si>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</si>
  <si>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</si>
  <si>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</si>
  <si>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</si>
  <si>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</si>
  <si>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</si>
  <si>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</si>
  <si>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</si>
  <si>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</si>
  <si>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</si>
  <si>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</si>
  <si>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</si>
  <si>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</si>
  <si>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</si>
  <si>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</si>
  <si>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</si>
  <si>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</si>
  <si>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</si>
  <si>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</si>
  <si>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</si>
  <si>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</si>
  <si>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</si>
  <si>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</si>
  <si>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</si>
  <si>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</si>
  <si>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</si>
  <si>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</si>
  <si>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</si>
  <si>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</si>
  <si>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</si>
  <si>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</si>
  <si>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</si>
  <si>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</si>
  <si>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</si>
  <si>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</si>
  <si>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</si>
  <si>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</si>
  <si>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</si>
  <si>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</si>
  <si>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</si>
  <si>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</si>
  <si>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</si>
  <si>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</si>
  <si>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</si>
  <si>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</si>
  <si>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</si>
  <si>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</si>
  <si>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</si>
  <si>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</si>
  <si>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</si>
  <si>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</si>
  <si>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</si>
  <si>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</si>
  <si>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</si>
  <si>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</si>
  <si>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</si>
  <si>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</si>
  <si>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</si>
  <si>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</si>
  <si>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</si>
  <si>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</si>
  <si>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</si>
  <si>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</si>
  <si>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</si>
  <si>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</si>
  <si>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</si>
  <si>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</si>
  <si>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</si>
  <si>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</si>
  <si>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</si>
  <si>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</si>
  <si>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</si>
  <si>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</si>
  <si>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</si>
  <si>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</si>
  <si>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</si>
  <si>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</si>
  <si>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</si>
  <si>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</si>
  <si>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</si>
  <si>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</si>
  <si>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</si>
  <si>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</si>
  <si>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</si>
  <si>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</si>
  <si>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</si>
  <si>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</si>
  <si>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</si>
  <si>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</si>
  <si>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</si>
  <si>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</si>
  <si>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</si>
  <si>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</si>
  <si>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</si>
  <si>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</si>
  <si>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</si>
  <si>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</si>
  <si>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</si>
  <si>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</si>
  <si>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</si>
  <si>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</si>
  <si>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</si>
  <si>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</si>
  <si>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</si>
  <si>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</si>
  <si>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</si>
  <si>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</si>
  <si>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</si>
  <si>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</si>
  <si>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</si>
  <si>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</si>
  <si>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</si>
  <si>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</si>
  <si>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</si>
  <si>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</si>
  <si>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</si>
  <si>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</si>
  <si>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</si>
  <si>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</si>
  <si>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</si>
  <si>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</si>
  <si>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</si>
  <si>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</si>
  <si>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</si>
  <si>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</si>
  <si>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</si>
  <si>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</si>
  <si>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</si>
  <si>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</si>
  <si>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</si>
  <si>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</si>
  <si>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</si>
  <si>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</si>
  <si>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</si>
  <si>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</si>
  <si>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</si>
  <si>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</si>
  <si>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</si>
  <si>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</si>
  <si>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</si>
  <si>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</si>
  <si>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</si>
  <si>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</si>
  <si>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</si>
  <si>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</si>
  <si>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</si>
  <si>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</si>
  <si>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</si>
  <si>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</si>
  <si>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</si>
  <si>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</si>
  <si>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</si>
  <si>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</si>
  <si>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</si>
  <si>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</si>
  <si>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</si>
  <si>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</si>
  <si>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</si>
  <si>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</si>
  <si>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</si>
  <si>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</si>
  <si>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</si>
  <si>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</si>
  <si>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</si>
  <si>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</si>
  <si>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</si>
  <si>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</si>
  <si>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</si>
  <si>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</si>
  <si>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</si>
  <si>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</si>
  <si>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</si>
  <si>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</si>
  <si>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</si>
  <si>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</si>
  <si>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</si>
  <si>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</si>
  <si>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</si>
  <si>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</si>
  <si>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</si>
  <si>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</si>
  <si>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</si>
  <si>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</si>
  <si>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</si>
  <si>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</si>
  <si>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</si>
  <si>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</si>
  <si>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</si>
  <si>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</si>
  <si>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</si>
  <si>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</si>
  <si>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</si>
  <si>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</si>
  <si>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</si>
  <si>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</si>
  <si>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</si>
  <si>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</si>
  <si>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</si>
  <si>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</si>
  <si>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</si>
  <si>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</si>
  <si>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</si>
  <si>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</si>
  <si>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</si>
  <si>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</si>
  <si>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</si>
  <si>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</si>
  <si>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</si>
  <si>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</si>
  <si>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</si>
  <si>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</si>
  <si>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</si>
  <si>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</si>
  <si>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</si>
  <si>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</si>
  <si>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</si>
  <si>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</si>
  <si>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</si>
  <si>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</si>
  <si>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</si>
  <si>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</si>
  <si>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</si>
  <si>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</si>
  <si>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</si>
  <si>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</si>
  <si>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</si>
  <si>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</si>
  <si>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</si>
  <si>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</si>
  <si>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</si>
  <si>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</si>
  <si>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</si>
  <si>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</si>
  <si>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</si>
  <si>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</si>
  <si>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</si>
  <si>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</si>
  <si>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</si>
  <si>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</si>
  <si>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</si>
  <si>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</si>
  <si>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</si>
  <si>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</si>
  <si>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</si>
  <si>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</si>
  <si>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</si>
  <si>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</si>
  <si>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</si>
  <si>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</si>
  <si>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</si>
  <si>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</si>
  <si>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</si>
  <si>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</si>
  <si>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</si>
  <si>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</si>
  <si>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</si>
  <si>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</si>
  <si>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</si>
  <si>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</si>
  <si>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</si>
  <si>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</si>
  <si>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</si>
  <si>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</si>
  <si>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</si>
  <si>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</si>
  <si>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</si>
  <si>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</si>
  <si>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</si>
  <si>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</si>
  <si>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</si>
  <si>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</si>
  <si>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</si>
  <si>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</si>
  <si>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</si>
  <si>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</si>
  <si>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</si>
  <si>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</si>
  <si>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</si>
  <si>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</si>
  <si>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</si>
  <si>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</si>
  <si>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</si>
  <si>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</si>
  <si>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</si>
  <si>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</si>
  <si>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</si>
  <si>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</si>
  <si>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</si>
  <si>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</si>
  <si>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</si>
  <si>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</si>
  <si>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</si>
  <si>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</si>
  <si>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</si>
  <si>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</si>
  <si>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</si>
  <si>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</si>
  <si>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</si>
  <si>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</si>
  <si>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</si>
  <si>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</si>
  <si>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</si>
  <si>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</si>
  <si>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</si>
  <si>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</si>
  <si>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</si>
  <si>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</si>
  <si>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</si>
  <si>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</si>
  <si>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</si>
  <si>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</si>
  <si>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</si>
  <si>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</si>
  <si>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</si>
  <si>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</si>
  <si>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</si>
  <si>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</si>
  <si>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</si>
  <si>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</si>
  <si>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</si>
  <si>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</si>
  <si>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</si>
  <si>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</si>
  <si>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</si>
  <si>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</si>
  <si>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</si>
  <si>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</si>
  <si>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</si>
  <si>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</si>
  <si>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</si>
  <si>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</si>
  <si>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</si>
  <si>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</si>
  <si>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</si>
  <si>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</si>
  <si>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</si>
  <si>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</si>
  <si>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</si>
  <si>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</si>
  <si>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</si>
  <si>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</si>
  <si>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</si>
  <si>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</si>
  <si>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</si>
  <si>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</si>
  <si>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</si>
  <si>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</si>
  <si>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</si>
  <si>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</si>
  <si>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</si>
  <si>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</si>
  <si>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</si>
  <si>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</si>
  <si>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</si>
  <si>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</si>
  <si>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</si>
  <si>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</si>
  <si>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</si>
  <si>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</si>
  <si>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</si>
  <si>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</si>
  <si>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</si>
  <si>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</si>
  <si>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</si>
  <si>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</si>
  <si>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</si>
  <si>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</si>
  <si>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</si>
  <si>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</si>
  <si>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</si>
  <si>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</si>
  <si>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</si>
  <si>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</si>
  <si>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</si>
  <si>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</si>
  <si>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</si>
  <si>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</si>
  <si>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</si>
  <si>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</si>
  <si>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</si>
  <si>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</si>
  <si>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</si>
  <si>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</si>
  <si>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</si>
  <si>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</si>
  <si>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</si>
  <si>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</si>
  <si>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</si>
  <si>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</si>
  <si>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</si>
  <si>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</si>
  <si>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</si>
  <si>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</si>
  <si>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</si>
  <si>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</si>
  <si>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</si>
  <si>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</si>
  <si>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</si>
  <si>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</si>
  <si>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</si>
  <si>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</si>
  <si>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</si>
  <si>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</si>
  <si>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</si>
  <si>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</si>
  <si>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</si>
  <si>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</si>
  <si>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</si>
  <si>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</si>
  <si>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</si>
  <si>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</si>
  <si>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</si>
  <si>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</si>
  <si>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</si>
  <si>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</si>
  <si>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</si>
  <si>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</si>
  <si>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</si>
  <si>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</si>
  <si>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</si>
  <si>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</si>
  <si>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</si>
  <si>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</si>
  <si>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</si>
  <si>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</si>
  <si>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</si>
  <si>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</si>
  <si>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</si>
  <si>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</si>
  <si>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</si>
  <si>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</si>
  <si>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</si>
  <si>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</si>
  <si>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</si>
  <si>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</si>
  <si>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</si>
  <si>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</si>
  <si>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</si>
  <si>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</si>
  <si>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</si>
  <si>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</si>
  <si>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</si>
  <si>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</si>
  <si>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</si>
  <si>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</si>
  <si>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</si>
  <si>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</si>
  <si>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</si>
  <si>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</si>
  <si>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</si>
  <si>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</si>
  <si>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</si>
  <si>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</si>
  <si>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</si>
  <si>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</si>
  <si>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</si>
  <si>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</si>
  <si>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</si>
  <si>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</si>
  <si>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</si>
  <si>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</si>
  <si>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</si>
  <si>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</si>
  <si>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</si>
  <si>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</si>
  <si>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</si>
  <si>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</si>
  <si>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</si>
  <si>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</si>
  <si>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</si>
  <si>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</si>
  <si>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</si>
  <si>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</si>
  <si>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</si>
  <si>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</si>
  <si>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</si>
  <si>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</si>
  <si>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</si>
  <si>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</si>
  <si>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</si>
  <si>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</si>
  <si>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</si>
  <si>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</si>
  <si>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</si>
  <si>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</si>
  <si>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</si>
  <si>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</si>
  <si>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</si>
  <si>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</si>
  <si>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</si>
  <si>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</si>
  <si>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</si>
  <si>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</si>
  <si>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</si>
  <si>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</si>
  <si>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</si>
  <si>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</si>
  <si>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</si>
  <si>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</si>
  <si>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</si>
  <si>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</si>
  <si>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</si>
  <si>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</si>
  <si>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</si>
  <si>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</si>
  <si>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</si>
  <si>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</si>
  <si>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</si>
  <si>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</si>
  <si>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</si>
  <si>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</si>
  <si>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</si>
  <si>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</si>
  <si>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</si>
  <si>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</si>
  <si>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</si>
  <si>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</si>
  <si>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</si>
  <si>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</si>
  <si>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</si>
  <si>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</si>
  <si>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</si>
  <si>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</si>
  <si>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</si>
  <si>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</si>
  <si>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</si>
  <si>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</si>
  <si>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</si>
  <si>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</si>
  <si>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</si>
  <si>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</si>
  <si>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</si>
  <si>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</si>
  <si>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</si>
  <si>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</si>
  <si>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</si>
  <si>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</si>
  <si>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</si>
  <si>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</si>
  <si>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</si>
  <si>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</si>
  <si>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</si>
  <si>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</si>
  <si>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</si>
  <si>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</si>
  <si>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</si>
  <si>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</si>
  <si>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</si>
  <si>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</si>
  <si>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</si>
  <si>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</si>
  <si>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</si>
  <si>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</si>
  <si>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</si>
  <si>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</si>
  <si>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</si>
  <si>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</si>
  <si>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</si>
  <si>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</si>
  <si>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</si>
  <si>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</si>
  <si>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</si>
  <si>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</si>
  <si>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</si>
  <si>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</si>
  <si>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</si>
  <si>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</si>
  <si>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</si>
  <si>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</si>
  <si>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</si>
  <si>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</si>
  <si>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</si>
  <si>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</si>
  <si>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</si>
  <si>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</si>
  <si>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</si>
  <si>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</si>
  <si>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</si>
  <si>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</si>
  <si>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</si>
  <si>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</si>
  <si>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</si>
  <si>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</si>
  <si>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</si>
  <si>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</si>
  <si>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</si>
  <si>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</si>
  <si>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</si>
  <si>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</si>
  <si>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</si>
  <si>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</si>
  <si>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</si>
  <si>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</si>
  <si>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</si>
  <si>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</si>
  <si>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</si>
  <si>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</si>
  <si>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</si>
  <si>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</si>
  <si>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</si>
  <si>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</si>
  <si>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</si>
  <si>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</si>
  <si>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</si>
  <si>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</si>
  <si>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</si>
  <si>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</si>
  <si>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</si>
  <si>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</si>
  <si>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</si>
  <si>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</si>
  <si>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</si>
  <si>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</si>
  <si>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</si>
  <si>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</si>
  <si>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</si>
  <si>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</si>
  <si>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</si>
  <si>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</si>
  <si>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</si>
  <si>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</si>
  <si>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</si>
  <si>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</si>
  <si>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</si>
  <si>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</si>
  <si>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</si>
  <si>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</si>
  <si>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</si>
  <si>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</si>
  <si>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</si>
  <si>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</si>
  <si>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</si>
  <si>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</si>
  <si>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</si>
  <si>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</si>
  <si>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</si>
  <si>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</si>
  <si>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</si>
  <si>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</si>
  <si>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</si>
  <si>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</si>
  <si>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</si>
  <si>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</si>
  <si>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</si>
  <si>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</si>
  <si>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</si>
  <si>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</si>
  <si>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</si>
  <si>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</si>
  <si>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</si>
  <si>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</si>
  <si>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</si>
  <si>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</si>
  <si>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</si>
  <si>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</si>
  <si>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</si>
  <si>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</si>
  <si>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</si>
  <si>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</si>
  <si>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</si>
  <si>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</si>
  <si>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</si>
  <si>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</si>
  <si>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</si>
  <si>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</si>
  <si>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</si>
  <si>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</si>
  <si>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</si>
  <si>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</si>
  <si>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</si>
  <si>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</si>
  <si>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</si>
  <si>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</si>
  <si>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</si>
  <si>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</si>
  <si>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</si>
  <si>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</si>
  <si>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</si>
  <si>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</si>
  <si>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</si>
  <si>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</si>
  <si>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</si>
  <si>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</si>
  <si>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</si>
  <si>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</si>
  <si>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</si>
  <si>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</si>
  <si>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</si>
  <si>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</si>
  <si>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</si>
  <si>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</si>
  <si>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</si>
  <si>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</si>
  <si>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</si>
  <si>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</si>
  <si>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</si>
  <si>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</si>
  <si>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</si>
  <si>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</si>
  <si>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</si>
  <si>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</si>
  <si>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</si>
  <si>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</si>
  <si>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</si>
  <si>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</si>
  <si>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</si>
  <si>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</si>
  <si>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</si>
  <si>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</si>
  <si>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</si>
  <si>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</si>
  <si>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</si>
  <si>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</si>
  <si>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</si>
  <si>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</si>
  <si>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</si>
  <si>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</si>
  <si>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</si>
  <si>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</si>
  <si>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</si>
  <si>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</si>
  <si>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</si>
  <si>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</si>
  <si>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</si>
  <si>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</si>
  <si>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</si>
  <si>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</si>
  <si>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</si>
  <si>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</si>
  <si>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</si>
  <si>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</si>
  <si>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</si>
  <si>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</si>
  <si>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</si>
  <si>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</si>
  <si>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</si>
  <si>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</si>
  <si>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</si>
  <si>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</si>
  <si>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</si>
  <si>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</si>
  <si>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</si>
  <si>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</si>
  <si>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</si>
  <si>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</si>
  <si>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</si>
  <si>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</si>
  <si>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</si>
  <si>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</si>
  <si>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</si>
  <si>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</si>
  <si>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</si>
  <si>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</si>
  <si>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</si>
  <si>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</si>
  <si>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</si>
  <si>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</si>
  <si>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</si>
  <si>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</si>
  <si>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</si>
  <si>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</si>
  <si>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</si>
  <si>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</si>
  <si>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</si>
  <si>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</si>
  <si>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</si>
  <si>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</si>
  <si>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</si>
  <si>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</si>
  <si>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</si>
  <si>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</si>
  <si>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</si>
  <si>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</si>
  <si>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</si>
  <si>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</si>
  <si>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</si>
  <si>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</si>
  <si>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</si>
  <si>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</si>
  <si>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</si>
  <si>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</si>
  <si>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</si>
  <si>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</si>
  <si>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</si>
  <si>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</si>
  <si>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</si>
  <si>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</si>
  <si>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</si>
  <si>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</si>
  <si>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</si>
  <si>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</si>
  <si>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</si>
  <si>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</si>
  <si>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</si>
  <si>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</si>
  <si>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</si>
  <si>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</si>
  <si>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</si>
  <si>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</si>
  <si>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</si>
  <si>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</si>
  <si>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</si>
  <si>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</si>
  <si>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</si>
  <si>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</si>
  <si>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</si>
  <si>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</si>
  <si>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</si>
  <si>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</si>
  <si>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</si>
  <si>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</si>
  <si>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</si>
  <si>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</si>
  <si>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</si>
  <si>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</si>
  <si>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</si>
  <si>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</si>
  <si>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</si>
  <si>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</si>
  <si>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</si>
  <si>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</si>
  <si>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</si>
  <si>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</si>
  <si>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</si>
  <si>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</si>
  <si>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</si>
  <si>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</si>
  <si>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</si>
  <si>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</si>
  <si>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</si>
  <si>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</si>
  <si>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</si>
  <si>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</si>
  <si>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</si>
  <si>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</si>
  <si>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</si>
  <si>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</si>
  <si>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</si>
  <si>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</si>
  <si>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</si>
  <si>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</si>
  <si>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</si>
  <si>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</si>
  <si>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</si>
  <si>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</si>
  <si>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</si>
  <si>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</si>
  <si>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</si>
  <si>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</si>
  <si>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</si>
  <si>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</si>
  <si>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</si>
  <si>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</si>
  <si>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</si>
  <si>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</si>
  <si>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</si>
  <si>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</si>
  <si>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</si>
  <si>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</si>
  <si>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</si>
  <si>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</si>
  <si>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</si>
  <si>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</si>
  <si>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</si>
  <si>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</si>
  <si>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</si>
  <si>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</si>
  <si>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</si>
  <si>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</si>
  <si>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</si>
  <si>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</si>
  <si>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</si>
  <si>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</si>
  <si>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</si>
  <si>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</si>
  <si>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</si>
  <si>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</si>
  <si>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</si>
  <si>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</si>
  <si>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</si>
  <si>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</si>
  <si>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</si>
  <si>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</si>
  <si>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</si>
  <si>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</si>
  <si>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</si>
  <si>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</si>
  <si>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</si>
  <si>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</si>
  <si>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</si>
  <si>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</si>
  <si>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</si>
  <si>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</si>
  <si>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</si>
  <si>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</si>
  <si>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</si>
  <si>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</si>
  <si>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</si>
  <si>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</si>
  <si>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</si>
  <si>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</si>
  <si>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</si>
  <si>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</si>
  <si>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</si>
  <si>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</si>
  <si>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</si>
  <si>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</si>
  <si>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</si>
  <si>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</si>
  <si>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</si>
  <si>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</si>
  <si>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</si>
  <si>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</si>
  <si>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</si>
  <si>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</si>
  <si>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</si>
  <si>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</si>
  <si>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</si>
  <si>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</si>
  <si>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</si>
  <si>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</si>
  <si>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</si>
  <si>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</si>
  <si>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</si>
  <si>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</si>
  <si>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</si>
  <si>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</si>
  <si>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</si>
  <si>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</si>
  <si>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</si>
  <si>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</si>
  <si>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</si>
  <si>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</si>
  <si>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</si>
  <si>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</si>
  <si>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</si>
  <si>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</si>
  <si>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</si>
  <si>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</si>
  <si>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</si>
  <si>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</si>
  <si>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</si>
  <si>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</si>
  <si>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</si>
  <si>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</si>
  <si>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</si>
  <si>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</si>
  <si>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</si>
  <si>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</si>
  <si>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</si>
  <si>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</si>
  <si>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</si>
  <si>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</si>
  <si>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</si>
  <si>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</si>
  <si>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</si>
  <si>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</si>
  <si>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</si>
  <si>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</si>
  <si>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</si>
  <si>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</si>
  <si>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</si>
  <si>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</si>
  <si>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</si>
  <si>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</si>
  <si>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</si>
  <si>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</si>
  <si>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</si>
  <si>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</si>
  <si>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</si>
  <si>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</si>
  <si>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</si>
  <si>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</si>
  <si>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</si>
  <si>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</si>
  <si>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</si>
  <si>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</si>
  <si>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</si>
  <si>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</si>
  <si>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</si>
  <si>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</si>
  <si>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</si>
  <si>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</si>
  <si>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</si>
  <si>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</si>
  <si>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</si>
  <si>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</si>
  <si>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</si>
  <si>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</si>
  <si>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</si>
  <si>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</si>
  <si>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</si>
  <si>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</si>
  <si>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</si>
  <si>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</si>
  <si>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</si>
  <si>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</si>
  <si>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</si>
  <si>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</si>
  <si>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</si>
  <si>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</si>
  <si>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</si>
  <si>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</si>
  <si>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</si>
  <si>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</si>
  <si>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</si>
  <si>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</si>
  <si>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</si>
  <si>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</si>
  <si>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</si>
  <si>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</si>
  <si>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</si>
  <si>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</si>
  <si>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</si>
  <si>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</si>
  <si>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</si>
  <si>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</si>
  <si>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</si>
  <si>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</si>
  <si>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</si>
  <si>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</si>
  <si>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</si>
  <si>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</si>
  <si>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</si>
  <si>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</si>
  <si>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</si>
  <si>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</si>
  <si>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</si>
  <si>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</si>
  <si>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</si>
  <si>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</si>
  <si>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</si>
  <si>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</si>
  <si>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</si>
  <si>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</si>
  <si>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</si>
  <si>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</si>
  <si>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</si>
  <si>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</si>
  <si>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</si>
  <si>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</si>
  <si>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</si>
  <si>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</si>
  <si>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</si>
  <si>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</si>
  <si>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</si>
  <si>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</si>
  <si>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</si>
  <si>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</si>
  <si>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</si>
  <si>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</si>
  <si>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</si>
  <si>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</si>
  <si>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</si>
  <si>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</si>
  <si>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</si>
  <si>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</si>
  <si>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</si>
  <si>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</si>
  <si>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</si>
  <si>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</si>
  <si>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</si>
  <si>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</si>
  <si>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</si>
  <si>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</si>
  <si>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</si>
  <si>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</si>
  <si>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</si>
  <si>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</si>
  <si>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</si>
  <si>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</si>
  <si>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</si>
  <si>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</si>
  <si>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</si>
  <si>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</si>
  <si>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</si>
  <si>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</si>
  <si>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</si>
  <si>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</si>
  <si>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</si>
  <si>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</si>
  <si>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</si>
  <si>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</si>
  <si>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</si>
  <si>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</si>
  <si>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</si>
  <si>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</si>
  <si>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</si>
  <si>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</si>
  <si>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</si>
  <si>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</si>
  <si>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</si>
  <si>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</si>
  <si>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</si>
  <si>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</si>
  <si>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</si>
  <si>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</si>
  <si>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</si>
  <si>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</si>
  <si>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</si>
  <si>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</si>
  <si>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</si>
  <si>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</si>
  <si>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</si>
  <si>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</si>
  <si>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</si>
  <si>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</si>
  <si>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</si>
  <si>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</si>
  <si>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</si>
  <si>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</si>
  <si>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</si>
  <si>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</si>
  <si>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</si>
  <si>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</si>
  <si>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</si>
  <si>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</si>
  <si>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</si>
  <si>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</si>
  <si>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</si>
  <si>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</si>
  <si>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</si>
  <si>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</si>
  <si>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</si>
  <si>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</si>
  <si>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</si>
  <si>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</si>
  <si>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</si>
  <si>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</si>
  <si>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</si>
  <si>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</si>
  <si>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</si>
  <si>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</si>
  <si>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</si>
  <si>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</si>
  <si>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</si>
  <si>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</si>
  <si>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</si>
  <si>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</si>
  <si>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</si>
  <si>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</si>
  <si>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</si>
  <si>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</si>
  <si>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</si>
  <si>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</si>
  <si>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</si>
  <si>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</si>
  <si>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</si>
  <si>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</si>
  <si>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</si>
  <si>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</si>
  <si>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</si>
  <si>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</si>
  <si>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</si>
  <si>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</si>
  <si>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</si>
  <si>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</si>
  <si>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</si>
  <si>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</si>
  <si>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</si>
  <si>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</si>
  <si>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</si>
  <si>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</si>
  <si>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</si>
  <si>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</si>
  <si>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</si>
  <si>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</si>
  <si>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</si>
  <si>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</si>
  <si>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</si>
  <si>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</si>
  <si>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</si>
  <si>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</si>
  <si>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</si>
  <si>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</si>
  <si>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</si>
  <si>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</si>
  <si>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</si>
  <si>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</si>
  <si>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</si>
  <si>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</si>
  <si>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</si>
  <si>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</si>
  <si>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</si>
  <si>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</si>
  <si>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</si>
  <si>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</si>
  <si>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</si>
  <si>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</si>
  <si>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</si>
  <si>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</si>
  <si>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</si>
  <si>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</si>
  <si>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</si>
  <si>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</si>
  <si>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</si>
  <si>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</si>
  <si>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</si>
  <si>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</si>
  <si>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</si>
  <si>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</si>
  <si>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</si>
  <si>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</si>
  <si>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</si>
  <si>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</si>
  <si>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</si>
  <si>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</si>
  <si>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</si>
  <si>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</si>
  <si>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</si>
  <si>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</si>
  <si>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</si>
  <si>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</si>
  <si>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</si>
  <si>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</si>
  <si>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</si>
  <si>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</si>
  <si>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</si>
  <si>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</si>
  <si>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</si>
  <si>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</si>
  <si>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</si>
  <si>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</si>
  <si>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</si>
  <si>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</si>
  <si>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</si>
  <si>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</si>
  <si>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</si>
  <si>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</si>
  <si>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</si>
  <si>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</si>
  <si>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</si>
  <si>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</si>
  <si>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</si>
  <si>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</si>
  <si>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</si>
  <si>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</si>
  <si>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</si>
  <si>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</si>
  <si>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</si>
  <si>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</si>
  <si>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</si>
  <si>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</si>
  <si>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</si>
  <si>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</si>
  <si>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</si>
  <si>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</si>
  <si>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</si>
  <si>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</si>
  <si>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</si>
  <si>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</si>
  <si>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</si>
  <si>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</si>
  <si>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</si>
  <si>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</si>
  <si>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</si>
  <si>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</si>
  <si>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</si>
  <si>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</si>
  <si>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</si>
  <si>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</si>
  <si>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</si>
  <si>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</si>
  <si>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</si>
  <si>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</si>
  <si>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</si>
  <si>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</si>
  <si>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</si>
  <si>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</si>
  <si>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</si>
  <si>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</si>
  <si>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</si>
  <si>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</si>
  <si>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</si>
  <si>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</si>
  <si>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</si>
  <si>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</si>
  <si>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</si>
  <si>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</si>
  <si>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</si>
  <si>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</si>
  <si>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</si>
  <si>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</si>
  <si>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</si>
  <si>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</si>
  <si>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</si>
  <si>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</si>
  <si>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</si>
  <si>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</si>
  <si>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</si>
  <si>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</si>
  <si>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</si>
  <si>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</si>
  <si>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</si>
  <si>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</si>
  <si>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</si>
  <si>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</si>
  <si>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</si>
  <si>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</si>
  <si>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</si>
  <si>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</si>
  <si>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</si>
  <si>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</si>
  <si>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</si>
  <si>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</si>
  <si>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</si>
  <si>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</si>
  <si>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</si>
  <si>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</si>
  <si>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</si>
  <si>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</si>
  <si>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</si>
  <si>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</si>
  <si>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</si>
  <si>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</si>
  <si>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</si>
  <si>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</si>
  <si>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</si>
  <si>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</si>
  <si>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</si>
  <si>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</si>
  <si>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</si>
  <si>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</si>
  <si>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</si>
  <si>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</si>
  <si>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</si>
  <si>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</si>
  <si>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</si>
  <si>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</si>
  <si>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</si>
  <si>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</si>
  <si>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</si>
  <si>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</si>
  <si>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</si>
  <si>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</si>
  <si>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</si>
  <si>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</si>
  <si>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</si>
  <si>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</si>
  <si>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</si>
  <si>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</si>
  <si>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</si>
  <si>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</si>
  <si>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</si>
  <si>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</si>
  <si>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</si>
  <si>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</si>
  <si>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</si>
  <si>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</si>
  <si>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</si>
  <si>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</si>
  <si>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</si>
  <si>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</si>
  <si>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</si>
  <si>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</si>
  <si>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</si>
  <si>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</si>
  <si>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</si>
  <si>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</si>
  <si>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</si>
  <si>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</si>
  <si>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</si>
  <si>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</si>
  <si>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</si>
  <si>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</si>
  <si>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</si>
  <si>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</si>
  <si>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</si>
  <si>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</si>
  <si>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</si>
  <si>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</si>
  <si>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</si>
  <si>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</si>
  <si>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</si>
  <si>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</si>
  <si>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</si>
  <si>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</si>
  <si>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</si>
  <si>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</si>
  <si>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</si>
  <si>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</si>
  <si>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</si>
  <si>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</si>
  <si>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</si>
  <si>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</si>
  <si>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</si>
  <si>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</si>
  <si>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</si>
  <si>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</si>
  <si>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</si>
  <si>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</si>
  <si>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</si>
  <si>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</si>
  <si>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</si>
  <si>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</si>
  <si>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</si>
  <si>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</si>
  <si>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</si>
  <si>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</si>
  <si>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</si>
  <si>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</si>
  <si>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</si>
  <si>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</si>
  <si>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</si>
  <si>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</si>
  <si>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</si>
  <si>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</si>
  <si>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</si>
  <si>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</si>
  <si>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</si>
  <si>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</si>
  <si>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</si>
  <si>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</si>
  <si>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</si>
  <si>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</si>
  <si>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</si>
  <si>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</si>
  <si>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</si>
  <si>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</si>
  <si>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</si>
  <si>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</si>
  <si>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</si>
  <si>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</si>
  <si>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</si>
  <si>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</si>
  <si>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</si>
  <si>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</si>
  <si>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</si>
  <si>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</si>
  <si>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</si>
  <si>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</si>
  <si>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</si>
  <si>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</si>
  <si>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</si>
  <si>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</si>
  <si>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</si>
  <si>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</si>
  <si>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</si>
  <si>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</si>
  <si>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</si>
  <si>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</si>
  <si>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</si>
  <si>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</si>
  <si>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</si>
  <si>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</si>
  <si>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</si>
  <si>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</si>
  <si>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</si>
  <si>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</si>
  <si>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</si>
  <si>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</si>
  <si>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</si>
  <si>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</si>
  <si>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</si>
  <si>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</si>
  <si>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</si>
  <si>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</si>
  <si>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</si>
  <si>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</si>
  <si>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</si>
  <si>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</si>
  <si>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</si>
  <si>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</si>
  <si>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</si>
  <si>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</si>
  <si>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</si>
  <si>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</si>
  <si>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</si>
  <si>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</si>
  <si>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</si>
  <si>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</si>
  <si>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</si>
  <si>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</si>
  <si>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</si>
  <si>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</si>
  <si>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</si>
  <si>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</si>
  <si>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</si>
  <si>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</si>
  <si>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</si>
  <si>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</si>
  <si>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</si>
  <si>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</si>
  <si>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</si>
  <si>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</si>
  <si>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</si>
  <si>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</si>
  <si>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</si>
  <si>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</si>
  <si>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</si>
  <si>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</si>
  <si>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</si>
  <si>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</si>
  <si>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</si>
  <si>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</si>
  <si>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</si>
  <si>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</si>
  <si>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</si>
  <si>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</si>
  <si>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</si>
  <si>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</si>
  <si>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</si>
  <si>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</si>
  <si>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</si>
  <si>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</si>
  <si>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</si>
  <si>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</si>
  <si>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</si>
  <si>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</si>
  <si>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</si>
  <si>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</si>
  <si>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</si>
  <si>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</si>
  <si>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</si>
  <si>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</si>
  <si>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</si>
  <si>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</si>
  <si>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</si>
  <si>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</si>
  <si>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</si>
  <si>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</si>
  <si>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</si>
  <si>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</si>
  <si>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</si>
  <si>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</si>
  <si>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</si>
  <si>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</si>
  <si>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</si>
  <si>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</si>
  <si>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</si>
  <si>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</si>
  <si>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</si>
  <si>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</si>
  <si>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</si>
  <si>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</si>
  <si>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</si>
  <si>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</si>
  <si>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</si>
  <si>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</si>
  <si>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</si>
  <si>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</si>
  <si>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</si>
  <si>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</si>
  <si>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</si>
  <si>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</si>
  <si>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</si>
  <si>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</si>
  <si>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</si>
  <si>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</si>
  <si>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</si>
  <si>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</si>
  <si>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</si>
  <si>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</si>
  <si>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</si>
  <si>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</si>
  <si>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</si>
  <si>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</si>
  <si>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</si>
  <si>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</si>
  <si>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</si>
  <si>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</si>
  <si>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</si>
  <si>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</si>
  <si>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</si>
  <si>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</si>
  <si>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</si>
  <si>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</si>
  <si>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</si>
  <si>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</si>
  <si>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</si>
  <si>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</si>
  <si>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</si>
  <si>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</si>
  <si>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</si>
  <si>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</si>
  <si>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</si>
  <si>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</si>
  <si>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</si>
  <si>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</si>
  <si>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</si>
  <si>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</si>
  <si>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</si>
  <si>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</si>
  <si>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</si>
  <si>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</si>
  <si>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</si>
  <si>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</si>
  <si>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</si>
  <si>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</si>
  <si>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</si>
  <si>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</si>
  <si>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</si>
  <si>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</si>
  <si>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</si>
  <si>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</si>
  <si>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</si>
  <si>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</si>
  <si>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</si>
  <si>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</si>
  <si>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</si>
  <si>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</si>
  <si>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</si>
  <si>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</si>
  <si>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</si>
  <si>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</si>
  <si>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</si>
  <si>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</si>
  <si>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</si>
  <si>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</si>
  <si>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</si>
  <si>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</si>
  <si>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</si>
  <si>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</si>
  <si>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</si>
  <si>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</si>
  <si>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</si>
  <si>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</si>
  <si>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</si>
  <si>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</si>
  <si>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</si>
  <si>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</si>
  <si>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</si>
  <si>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</si>
  <si>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</si>
  <si>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</si>
  <si>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</si>
  <si>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</si>
  <si>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</si>
  <si>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</si>
  <si>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</si>
  <si>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</si>
  <si>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</si>
  <si>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</si>
  <si>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</si>
  <si>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</si>
  <si>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</si>
  <si>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</si>
  <si>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</si>
  <si>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</si>
  <si>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</si>
  <si>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</si>
  <si>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</si>
  <si>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</si>
  <si>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</si>
  <si>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</si>
  <si>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</si>
  <si>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</si>
  <si>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</si>
  <si>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</si>
  <si>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</si>
  <si>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</si>
  <si>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</si>
  <si>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</si>
  <si>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</si>
  <si>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</si>
  <si>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</si>
  <si>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</si>
  <si>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</si>
  <si>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</si>
  <si>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</si>
  <si>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</si>
  <si>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</si>
  <si>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</si>
  <si>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</si>
  <si>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</si>
  <si>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</si>
  <si>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</si>
  <si>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</si>
  <si>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</si>
  <si>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</si>
  <si>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</si>
  <si>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</si>
  <si>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</si>
  <si>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</si>
  <si>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</si>
  <si>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</si>
  <si>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</si>
  <si>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</si>
  <si>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</si>
  <si>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</si>
  <si>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</si>
  <si>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</si>
  <si>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</si>
  <si>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</si>
  <si>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</si>
  <si>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</si>
  <si>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</si>
  <si>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</si>
  <si>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</si>
  <si>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</si>
  <si>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</si>
  <si>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</si>
  <si>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</si>
  <si>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</si>
  <si>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</si>
  <si>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</si>
  <si>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</si>
  <si>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</si>
  <si>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</si>
  <si>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</si>
  <si>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</si>
  <si>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</si>
  <si>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</si>
  <si>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</si>
  <si>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</si>
  <si>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</si>
  <si>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</si>
  <si>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</si>
  <si>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</si>
  <si>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</si>
  <si>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</si>
  <si>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</si>
  <si>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</si>
  <si>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</si>
  <si>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</si>
  <si>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</si>
  <si>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</si>
  <si>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</si>
  <si>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</si>
  <si>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</si>
  <si>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</si>
  <si>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</si>
  <si>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</si>
  <si>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</si>
  <si>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</si>
  <si>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</si>
  <si>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</si>
  <si>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</si>
  <si>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</si>
  <si>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</si>
  <si>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</si>
  <si>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</si>
  <si>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</si>
  <si>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</si>
  <si>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</si>
  <si>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</si>
  <si>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</si>
  <si>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</si>
  <si>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</si>
  <si>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</si>
  <si>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</si>
  <si>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</si>
  <si>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</si>
  <si>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</si>
  <si>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</si>
  <si>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</si>
  <si>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</si>
  <si>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</si>
  <si>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</si>
  <si>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</si>
  <si>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</si>
  <si>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</si>
  <si>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</si>
  <si>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</si>
  <si>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</si>
  <si>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</si>
  <si>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</si>
  <si>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</si>
  <si>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</si>
  <si>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</si>
  <si>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</si>
  <si>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</si>
  <si>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</si>
  <si>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</si>
  <si>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</si>
  <si>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</si>
  <si>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</si>
  <si>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</si>
  <si>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</si>
  <si>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</si>
  <si>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</si>
  <si>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</si>
  <si>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</si>
  <si>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</si>
  <si>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</si>
  <si>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</si>
  <si>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</si>
  <si>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</si>
  <si>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</si>
  <si>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</si>
  <si>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</si>
  <si>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</si>
  <si>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</si>
  <si>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</si>
  <si>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</si>
  <si>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</si>
  <si>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</si>
  <si>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</si>
  <si>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</si>
  <si>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</si>
  <si>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</si>
  <si>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</si>
  <si>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</si>
  <si>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</si>
  <si>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</si>
  <si>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</si>
  <si>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</si>
  <si>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</si>
  <si>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</si>
  <si>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</si>
  <si>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</si>
  <si>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</si>
  <si>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</si>
  <si>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</si>
  <si>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</si>
  <si>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</si>
  <si>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</si>
  <si>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</si>
  <si>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</si>
  <si>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</si>
  <si>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</si>
  <si>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</si>
  <si>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</si>
  <si>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</si>
  <si>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</si>
  <si>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</si>
  <si>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</si>
  <si>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</si>
  <si>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</si>
  <si>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</si>
  <si>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</si>
  <si>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</si>
  <si>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</si>
  <si>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</si>
  <si>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</si>
  <si>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</si>
  <si>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</si>
  <si>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</si>
  <si>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</si>
  <si>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</si>
  <si>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</si>
  <si>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</si>
  <si>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</si>
  <si>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</si>
  <si>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</si>
  <si>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</si>
  <si>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</si>
  <si>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</si>
  <si>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</si>
  <si>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</si>
  <si>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</si>
  <si>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</si>
  <si>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</si>
  <si>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</si>
  <si>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</si>
  <si>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</si>
  <si>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</si>
  <si>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</si>
  <si>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</si>
  <si>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</si>
  <si>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</si>
  <si>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</si>
  <si>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</si>
  <si>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</si>
  <si>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</si>
  <si>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</si>
  <si>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</si>
  <si>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</si>
  <si>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</si>
  <si>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</si>
  <si>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</si>
  <si>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</si>
  <si>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</si>
  <si>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</si>
  <si>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</si>
  <si>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</si>
  <si>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</si>
  <si>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</si>
  <si>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</si>
  <si>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</si>
  <si>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</si>
  <si>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</si>
  <si>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</si>
  <si>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</si>
  <si>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</si>
  <si>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</si>
  <si>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</si>
  <si>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</si>
  <si>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</si>
  <si>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</si>
  <si>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</si>
  <si>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</si>
  <si>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</si>
  <si>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</si>
  <si>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</si>
  <si>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</si>
  <si>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</si>
  <si>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</si>
  <si>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</si>
  <si>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</si>
  <si>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</si>
  <si>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</si>
  <si>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</si>
  <si>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</si>
  <si>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</si>
  <si>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</si>
  <si>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</si>
  <si>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</si>
  <si>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</si>
  <si>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</si>
  <si>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</si>
  <si>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</si>
  <si>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</si>
  <si>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</si>
  <si>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</si>
  <si>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</si>
  <si>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</si>
  <si>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</si>
  <si>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</si>
  <si>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</si>
  <si>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</si>
  <si>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</si>
  <si>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</si>
  <si>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</si>
  <si>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</si>
  <si>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</si>
  <si>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</si>
  <si>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</si>
  <si>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</si>
  <si>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</si>
  <si>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</si>
  <si>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</si>
  <si>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</si>
  <si>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</si>
  <si>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</si>
  <si>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</si>
  <si>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</si>
  <si>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</si>
  <si>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</si>
  <si>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</si>
  <si>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</si>
  <si>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</si>
  <si>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</si>
  <si>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</si>
  <si>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</si>
  <si>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</si>
  <si>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</si>
  <si>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</si>
  <si>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</si>
  <si>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</si>
  <si>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</si>
  <si>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</si>
  <si>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</si>
  <si>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</si>
  <si>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</si>
  <si>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</si>
  <si>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</si>
  <si>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</si>
  <si>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</si>
  <si>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</si>
  <si>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</si>
  <si>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</si>
  <si>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</si>
  <si>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</si>
  <si>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</si>
  <si>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</si>
  <si>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</si>
  <si>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</si>
  <si>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</si>
  <si>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</si>
  <si>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</si>
  <si>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</si>
  <si>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</si>
  <si>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</si>
  <si>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</si>
  <si>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</si>
  <si>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</si>
  <si>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</si>
  <si>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</si>
  <si>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</si>
  <si>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</si>
  <si>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</si>
  <si>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</si>
  <si>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</si>
  <si>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</si>
  <si>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</si>
  <si>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</si>
  <si>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</si>
  <si>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</si>
  <si>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</si>
  <si>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</si>
  <si>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</si>
  <si>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</si>
  <si>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</si>
  <si>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</si>
  <si>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</si>
  <si>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</si>
  <si>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</si>
  <si>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</si>
  <si>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</si>
  <si>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</si>
  <si>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</si>
  <si>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</si>
  <si>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</si>
  <si>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</si>
  <si>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</si>
  <si>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</si>
  <si>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</si>
  <si>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</si>
  <si>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</si>
  <si>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</si>
  <si>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</si>
  <si>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</si>
  <si>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</si>
  <si>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</si>
  <si>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</si>
  <si>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</si>
  <si>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</si>
  <si>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</si>
  <si>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</si>
  <si>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</si>
  <si>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</si>
  <si>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</si>
  <si>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</si>
  <si>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</si>
  <si>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</si>
  <si>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</si>
  <si>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</si>
  <si>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</si>
  <si>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</si>
  <si>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</si>
  <si>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</si>
  <si>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</si>
  <si>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</si>
  <si>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</si>
  <si>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</si>
  <si>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</si>
  <si>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</si>
  <si>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</si>
  <si>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</si>
  <si>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</si>
  <si>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</si>
  <si>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</si>
  <si>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</si>
  <si>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</si>
  <si>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</si>
  <si>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</si>
  <si>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</si>
  <si>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</si>
  <si>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</si>
  <si>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</si>
  <si>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</si>
  <si>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</si>
  <si>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</si>
  <si>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</si>
  <si>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</si>
  <si>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</si>
  <si>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</si>
  <si>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</si>
  <si>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</si>
  <si>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</si>
  <si>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</si>
  <si>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</si>
  <si>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</si>
  <si>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</si>
  <si>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</si>
  <si>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</si>
  <si>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</si>
  <si>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</si>
  <si>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</si>
  <si>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</si>
  <si>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</si>
  <si>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</si>
  <si>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</si>
  <si>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</si>
  <si>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</si>
  <si>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</si>
  <si>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</si>
  <si>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</si>
  <si>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</si>
  <si>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</si>
  <si>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</si>
  <si>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</si>
  <si>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</si>
  <si>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</si>
  <si>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</si>
  <si>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</si>
  <si>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</si>
  <si>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</si>
  <si>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</si>
  <si>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</si>
  <si>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</si>
  <si>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</si>
  <si>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</si>
  <si>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</si>
  <si>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</si>
  <si>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</si>
  <si>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</si>
  <si>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</si>
  <si>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</si>
  <si>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</si>
  <si>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</si>
  <si>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</si>
  <si>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</si>
  <si>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</si>
  <si>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</si>
  <si>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</si>
  <si>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</si>
  <si>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</si>
  <si>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</si>
  <si>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</si>
  <si>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</si>
  <si>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</si>
  <si>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</si>
  <si>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</si>
  <si>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</si>
  <si>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</si>
  <si>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</si>
  <si>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</si>
  <si>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</si>
  <si>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</si>
  <si>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</si>
  <si>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</si>
  <si>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</si>
  <si>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</si>
  <si>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</si>
  <si>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</si>
  <si>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</si>
  <si>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</si>
  <si>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</si>
  <si>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</si>
  <si>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</si>
  <si>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</si>
  <si>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</si>
  <si>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</si>
  <si>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</si>
  <si>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</si>
  <si>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</si>
  <si>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</si>
  <si>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</si>
  <si>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</si>
  <si>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</si>
  <si>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</si>
  <si>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</si>
  <si>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</si>
  <si>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</si>
  <si>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</si>
  <si>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</si>
  <si>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</si>
  <si>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</si>
  <si>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</si>
  <si>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</si>
  <si>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</si>
  <si>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</si>
  <si>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</si>
  <si>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</si>
  <si>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</si>
  <si>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</si>
  <si>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</si>
  <si>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</si>
  <si>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</si>
  <si>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</si>
  <si>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</si>
  <si>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</si>
  <si>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</si>
  <si>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</si>
  <si>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</si>
  <si>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</si>
  <si>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</si>
  <si>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</si>
  <si>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</si>
  <si>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</si>
  <si>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</si>
  <si>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</si>
  <si>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</si>
  <si>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</si>
  <si>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</si>
  <si>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</si>
  <si>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</si>
  <si>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</si>
  <si>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</si>
  <si>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</si>
  <si>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</si>
  <si>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</si>
  <si>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</si>
  <si>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</si>
  <si>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</si>
  <si>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</si>
  <si>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</si>
  <si>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</si>
  <si>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</si>
  <si>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</si>
  <si>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</si>
  <si>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</si>
  <si>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</si>
  <si>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</si>
  <si>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</si>
  <si>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</si>
  <si>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</si>
  <si>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</si>
  <si>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</si>
  <si>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</si>
  <si>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</si>
  <si>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</si>
  <si>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</si>
  <si>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</si>
  <si>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</si>
  <si>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</si>
  <si>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</si>
  <si>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</si>
  <si>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</si>
  <si>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</si>
  <si>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</si>
  <si>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</si>
  <si>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</si>
  <si>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</si>
  <si>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</si>
  <si>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</si>
  <si>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</si>
  <si>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</si>
  <si>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</si>
  <si>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</si>
  <si>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</si>
  <si>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</si>
  <si>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</si>
  <si>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</si>
  <si>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</si>
  <si>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</si>
  <si>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</si>
  <si>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</si>
  <si>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</si>
  <si>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</si>
  <si>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</si>
  <si>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</si>
  <si>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</si>
  <si>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</si>
  <si>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</si>
  <si>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</si>
  <si>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</si>
  <si>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</si>
  <si>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</si>
  <si>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</si>
  <si>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</si>
  <si>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</si>
  <si>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</si>
  <si>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</si>
  <si>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</si>
  <si>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</si>
  <si>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</si>
  <si>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</si>
  <si>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</si>
  <si>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</si>
  <si>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</si>
  <si>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</si>
  <si>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</si>
  <si>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</si>
  <si>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</si>
  <si>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</si>
  <si>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</si>
  <si>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</si>
  <si>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</si>
  <si>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</si>
  <si>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</si>
  <si>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</si>
  <si>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</si>
  <si>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</si>
  <si>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</si>
  <si>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</si>
  <si>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</si>
  <si>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</si>
  <si>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</si>
  <si>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</si>
  <si>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</si>
  <si>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</si>
  <si>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</si>
  <si>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</si>
  <si>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</si>
  <si>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</si>
  <si>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</si>
  <si>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</si>
  <si>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</si>
  <si>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</si>
  <si>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</si>
  <si>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</si>
  <si>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</si>
  <si>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</si>
  <si>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</si>
  <si>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</si>
  <si>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</si>
  <si>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</si>
  <si>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</si>
  <si>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</si>
  <si>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</si>
  <si>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</si>
  <si>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</si>
  <si>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</si>
  <si>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</si>
  <si>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</si>
  <si>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</si>
  <si>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</si>
  <si>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</si>
  <si>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</si>
  <si>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</si>
  <si>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</si>
  <si>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</si>
  <si>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</si>
  <si>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</si>
  <si>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</si>
  <si>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</si>
  <si>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</si>
  <si>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</si>
  <si>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</si>
  <si>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</si>
  <si>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</si>
  <si>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</si>
  <si>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</si>
  <si>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</si>
  <si>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</si>
  <si>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</si>
  <si>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</si>
  <si>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</si>
  <si>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</si>
  <si>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</si>
  <si>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</si>
  <si>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</si>
  <si>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</si>
  <si>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</si>
  <si>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</si>
  <si>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</si>
  <si>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</si>
  <si>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</si>
  <si>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</si>
  <si>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</si>
  <si>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</si>
  <si>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</si>
  <si>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</si>
  <si>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</si>
  <si>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</si>
  <si>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</si>
  <si>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</si>
  <si>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</si>
  <si>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</si>
  <si>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</si>
  <si>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</si>
  <si>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</si>
  <si>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</si>
  <si>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</si>
  <si>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</si>
  <si>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</si>
  <si>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</si>
  <si>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</si>
  <si>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</si>
  <si>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</si>
  <si>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</si>
  <si>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</si>
  <si>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</si>
  <si>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</si>
  <si>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</si>
  <si>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</si>
  <si>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</si>
  <si>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</si>
  <si>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</si>
  <si>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</si>
  <si>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</si>
  <si>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</si>
  <si>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</si>
  <si>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</si>
  <si>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</si>
  <si>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</si>
  <si>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</si>
  <si>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</si>
  <si>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</si>
  <si>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</si>
  <si>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</si>
  <si>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</si>
  <si>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</si>
  <si>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</si>
  <si>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</si>
  <si>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</si>
  <si>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</si>
  <si>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</si>
  <si>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</si>
  <si>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</si>
  <si>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</si>
  <si>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</si>
  <si>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</si>
  <si>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</si>
  <si>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</si>
  <si>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</si>
  <si>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</si>
  <si>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</si>
  <si>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</si>
  <si>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</si>
  <si>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</si>
  <si>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</si>
  <si>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</si>
  <si>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</si>
  <si>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</si>
  <si>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</si>
  <si>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</si>
  <si>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</si>
  <si>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</si>
  <si>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</si>
  <si>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</si>
  <si>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</si>
  <si>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</si>
  <si>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</si>
  <si>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</si>
  <si>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</si>
  <si>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</si>
  <si>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</si>
  <si>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</si>
  <si>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</si>
  <si>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</si>
  <si>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</si>
  <si>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</si>
  <si>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</si>
  <si>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</si>
  <si>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</si>
  <si>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</si>
  <si>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</si>
  <si>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</si>
  <si>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</si>
  <si>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</si>
  <si>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</si>
  <si>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</si>
  <si>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</si>
  <si>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</si>
  <si>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</si>
  <si>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</si>
  <si>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</si>
  <si>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</si>
  <si>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</si>
  <si>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</si>
  <si>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</si>
  <si>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</si>
  <si>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</si>
  <si>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</si>
  <si>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</si>
  <si>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</si>
  <si>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</si>
  <si>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</si>
  <si>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</si>
  <si>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</si>
  <si>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</si>
  <si>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</si>
  <si>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</si>
  <si>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</si>
  <si>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</si>
  <si>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</si>
  <si>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</si>
  <si>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</si>
  <si>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</si>
  <si>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</si>
  <si>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</si>
  <si>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</si>
  <si>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</si>
  <si>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</si>
  <si>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</si>
  <si>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</si>
  <si>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</si>
  <si>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</si>
  <si>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</si>
  <si>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</si>
  <si>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</si>
  <si>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</si>
  <si>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</si>
  <si>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</si>
  <si>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</si>
  <si>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</si>
  <si>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</si>
  <si>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</si>
  <si>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</si>
  <si>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</si>
  <si>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</si>
  <si>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</si>
  <si>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</si>
  <si>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</si>
  <si>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</si>
  <si>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</si>
  <si>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</si>
  <si>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</si>
  <si>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</si>
  <si>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</si>
  <si>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</si>
  <si>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</si>
  <si>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</si>
  <si>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</si>
  <si>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</si>
  <si>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</si>
  <si>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</si>
  <si>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</si>
  <si>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</si>
  <si>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</si>
  <si>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</si>
  <si>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</si>
  <si>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</si>
  <si>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</si>
  <si>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</si>
  <si>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</si>
  <si>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</si>
  <si>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</si>
  <si>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</si>
  <si>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</si>
  <si>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</si>
  <si>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</si>
  <si>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</si>
  <si>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</si>
  <si>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</si>
  <si>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</si>
  <si>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</si>
  <si>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</si>
  <si>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</si>
  <si>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</si>
  <si>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</si>
  <si>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</si>
  <si>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</si>
  <si>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</si>
  <si>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</si>
  <si>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</si>
  <si>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</si>
  <si>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</si>
  <si>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</si>
  <si>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</si>
  <si>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</si>
  <si>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</si>
  <si>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</si>
  <si>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</si>
  <si>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</si>
  <si>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</si>
  <si>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</si>
  <si>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</si>
  <si>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</si>
  <si>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</si>
  <si>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</si>
  <si>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</si>
  <si>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</si>
  <si>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</si>
  <si>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</si>
  <si>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</si>
  <si>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</si>
  <si>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</si>
  <si>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</si>
  <si>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</si>
  <si>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</si>
  <si>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</si>
  <si>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</si>
  <si>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</si>
  <si>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</si>
  <si>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</si>
  <si>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</si>
  <si>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</si>
  <si>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</si>
  <si>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</si>
  <si>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</si>
  <si>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</si>
  <si>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</si>
  <si>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</si>
  <si>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</si>
  <si>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</si>
  <si>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</si>
  <si>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</si>
  <si>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</si>
  <si>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</si>
  <si>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</si>
  <si>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</si>
  <si>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</si>
  <si>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</si>
  <si>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</si>
  <si>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</si>
  <si>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</si>
  <si>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</si>
  <si>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</si>
  <si>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</si>
  <si>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</si>
  <si>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</si>
  <si>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</si>
  <si>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</si>
  <si>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</si>
  <si>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</si>
  <si>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</si>
  <si>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</si>
  <si>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</si>
  <si>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</si>
  <si>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</si>
  <si>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</si>
  <si>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</si>
  <si>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</si>
  <si>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</si>
  <si>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</si>
  <si>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</si>
  <si>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</si>
  <si>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</si>
  <si>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</si>
  <si>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</si>
  <si>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</si>
  <si>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</si>
  <si>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</si>
  <si>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</si>
  <si>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</si>
  <si>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</si>
  <si>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</si>
  <si>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</si>
  <si>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</si>
  <si>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</si>
  <si>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</si>
  <si>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</si>
  <si>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</si>
  <si>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</si>
  <si>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</si>
  <si>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</si>
  <si>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</si>
  <si>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</si>
  <si>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</si>
  <si>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</si>
  <si>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</si>
  <si>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</si>
  <si>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</si>
  <si>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</si>
  <si>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</si>
  <si>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</si>
  <si>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</si>
  <si>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</si>
  <si>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</si>
  <si>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</si>
  <si>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</si>
  <si>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</si>
  <si>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</si>
  <si>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</si>
  <si>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</si>
  <si>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</si>
  <si>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</si>
  <si>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</si>
  <si>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</si>
  <si>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</si>
  <si>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</si>
  <si>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</si>
  <si>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</si>
  <si>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</si>
  <si>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</si>
  <si>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</si>
  <si>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</si>
  <si>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</si>
  <si>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</si>
  <si>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</si>
  <si>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</si>
  <si>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</si>
  <si>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</si>
  <si>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</si>
  <si>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</si>
  <si>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</si>
  <si>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</si>
  <si>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</si>
  <si>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</si>
  <si>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</si>
  <si>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</si>
  <si>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</si>
  <si>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</si>
  <si>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</si>
  <si>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</si>
  <si>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</si>
  <si>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</si>
  <si>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</si>
  <si>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</si>
  <si>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</si>
  <si>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</si>
  <si>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</si>
  <si>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</si>
  <si>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</si>
  <si>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</si>
  <si>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</si>
  <si>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</si>
  <si>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</si>
  <si>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</si>
  <si>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</si>
  <si>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</si>
  <si>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</si>
  <si>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</si>
  <si>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</si>
  <si>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</si>
  <si>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</si>
  <si>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</si>
  <si>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</si>
  <si>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</si>
  <si>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</si>
  <si>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</si>
  <si>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</si>
  <si>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</si>
  <si>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</si>
  <si>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</si>
  <si>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</si>
  <si>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</si>
  <si>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</si>
  <si>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</si>
  <si>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</si>
  <si>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</si>
  <si>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</si>
  <si>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</si>
  <si>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</si>
  <si>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</si>
  <si>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</si>
  <si>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</si>
  <si>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</si>
  <si>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</si>
  <si>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</si>
  <si>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</si>
  <si>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</si>
  <si>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</si>
  <si>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</si>
  <si>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</si>
  <si>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</si>
  <si>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</si>
  <si>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</si>
  <si>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</si>
  <si>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</si>
  <si>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</si>
  <si>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</si>
  <si>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</si>
  <si>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</si>
  <si>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</si>
  <si>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</si>
  <si>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</si>
  <si>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</si>
  <si>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</si>
  <si>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</si>
  <si>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</si>
  <si>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</si>
  <si>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</si>
  <si>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</si>
  <si>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</si>
  <si>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</si>
  <si>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</si>
  <si>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</si>
  <si>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</si>
  <si>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</si>
  <si>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</si>
  <si>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</si>
  <si>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</si>
  <si>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</si>
  <si>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</si>
  <si>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</si>
  <si>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</si>
  <si>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</si>
  <si>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</si>
  <si>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</si>
  <si>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</si>
  <si>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</si>
  <si>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</si>
  <si>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</si>
  <si>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</si>
  <si>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</si>
  <si>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</si>
  <si>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</si>
  <si>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</si>
  <si>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</si>
  <si>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</si>
  <si>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</si>
  <si>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</si>
  <si>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</si>
  <si>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</si>
  <si>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</si>
  <si>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</si>
  <si>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</si>
  <si>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</si>
  <si>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</si>
  <si>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</si>
  <si>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</si>
  <si>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</si>
  <si>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</si>
  <si>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</si>
  <si>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</si>
  <si>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</si>
  <si>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</si>
  <si>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</si>
  <si>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</si>
  <si>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</si>
  <si>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</si>
  <si>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</si>
  <si>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</si>
  <si>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</si>
  <si>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</si>
  <si>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</si>
  <si>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</si>
  <si>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</si>
  <si>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</si>
  <si>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</si>
  <si>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</si>
  <si>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</si>
  <si>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</si>
  <si>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</si>
  <si>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</si>
  <si>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</si>
  <si>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</si>
  <si>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</si>
  <si>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</si>
  <si>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</si>
  <si>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</si>
  <si>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</si>
  <si>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</si>
  <si>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</si>
  <si>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</si>
  <si>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</si>
  <si>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</si>
  <si>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</si>
  <si>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</si>
  <si>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</si>
  <si>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</si>
  <si>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</si>
  <si>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</si>
  <si>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</si>
  <si>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</si>
  <si>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</si>
  <si>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</si>
  <si>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</si>
  <si>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</si>
  <si>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</si>
  <si>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</si>
  <si>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</si>
  <si>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</si>
  <si>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</si>
  <si>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</si>
  <si>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</si>
  <si>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</si>
  <si>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</si>
  <si>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</si>
  <si>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</si>
  <si>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</si>
  <si>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</si>
  <si>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</si>
  <si>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</si>
  <si>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</si>
  <si>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</si>
  <si>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</si>
  <si>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</si>
  <si>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</si>
  <si>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</si>
  <si>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</si>
  <si>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</si>
  <si>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</si>
  <si>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</si>
  <si>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</si>
  <si>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</si>
  <si>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</si>
  <si>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</si>
  <si>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</si>
  <si>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</si>
  <si>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</si>
  <si>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</si>
  <si>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</si>
  <si>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</si>
  <si>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</si>
  <si>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</si>
  <si>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</si>
  <si>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</si>
  <si>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</si>
  <si>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</si>
  <si>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</si>
  <si>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</si>
  <si>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</si>
  <si>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</si>
  <si>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</si>
  <si>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</si>
  <si>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</si>
  <si>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</si>
  <si>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</si>
  <si>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</si>
  <si>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</si>
  <si>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</si>
  <si>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</si>
  <si>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</si>
  <si>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</si>
  <si>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</si>
  <si>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</si>
  <si>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</si>
  <si>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</si>
  <si>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</si>
  <si>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</si>
  <si>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</si>
  <si>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</si>
  <si>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</si>
  <si>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</si>
  <si>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</si>
  <si>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</si>
  <si>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</si>
  <si>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</si>
  <si>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</si>
  <si>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</si>
  <si>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</si>
  <si>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</si>
  <si>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</si>
  <si>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</si>
  <si>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</si>
  <si>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</si>
  <si>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</si>
  <si>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</si>
  <si>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</si>
  <si>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</si>
  <si>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</si>
  <si>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</si>
  <si>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</si>
  <si>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</si>
  <si>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</si>
  <si>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</si>
  <si>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</si>
  <si>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</si>
  <si>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</si>
  <si>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</si>
  <si>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</si>
  <si>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</si>
  <si>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</si>
  <si>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</si>
  <si>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</si>
  <si>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</si>
  <si>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</si>
  <si>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</si>
  <si>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</si>
  <si>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</si>
  <si>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</si>
  <si>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</si>
  <si>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</si>
  <si>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</si>
  <si>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</si>
  <si>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</si>
  <si>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</si>
  <si>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</si>
  <si>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</si>
  <si>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</si>
  <si>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</si>
  <si>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</si>
  <si>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</si>
  <si>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</si>
  <si>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</si>
  <si>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</si>
  <si>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</si>
  <si>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</si>
  <si>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</si>
  <si>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</si>
  <si>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</si>
  <si>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</si>
  <si>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</si>
  <si>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</si>
  <si>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</si>
  <si>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</si>
  <si>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</si>
  <si>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</si>
  <si>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</si>
  <si>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</si>
  <si>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</si>
  <si>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</si>
  <si>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</si>
  <si>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</si>
  <si>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</si>
  <si>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</si>
  <si>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</si>
  <si>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</si>
  <si>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</si>
  <si>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</si>
  <si>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</si>
  <si>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</si>
  <si>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</si>
  <si>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</si>
  <si>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</si>
  <si>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</si>
  <si>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</si>
  <si>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</si>
  <si>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</si>
  <si>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</si>
  <si>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</si>
  <si>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</si>
  <si>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</si>
  <si>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</si>
  <si>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</si>
  <si>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</si>
  <si>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</si>
  <si>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</si>
  <si>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</si>
  <si>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</si>
  <si>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</si>
  <si>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</si>
  <si>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</si>
  <si>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</si>
  <si>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</si>
  <si>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</si>
  <si>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</si>
  <si>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</si>
  <si>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</si>
  <si>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</si>
  <si>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</si>
  <si>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</si>
  <si>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</si>
  <si>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</si>
  <si>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</si>
  <si>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</si>
  <si>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</si>
  <si>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</si>
  <si>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</si>
  <si>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</si>
  <si>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</si>
  <si>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</si>
  <si>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</si>
  <si>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</si>
  <si>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</si>
  <si>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</si>
  <si>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</si>
  <si>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</si>
  <si>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</si>
  <si>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</si>
  <si>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</si>
  <si>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</si>
  <si>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</si>
  <si>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</si>
  <si>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</si>
  <si>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</si>
  <si>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</si>
  <si>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</si>
  <si>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</si>
  <si>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</si>
  <si>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</si>
  <si>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</si>
  <si>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</si>
  <si>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</si>
  <si>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</si>
  <si>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</si>
  <si>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</si>
  <si>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</si>
  <si>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</si>
  <si>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</si>
  <si>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</si>
  <si>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</si>
  <si>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</si>
  <si>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</si>
  <si>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</si>
  <si>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</si>
  <si>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</si>
  <si>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</si>
  <si>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</si>
  <si>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</si>
  <si>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</si>
  <si>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</si>
  <si>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</si>
  <si>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</si>
  <si>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</si>
  <si>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</si>
  <si>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</si>
  <si>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</si>
  <si>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</si>
  <si>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</si>
  <si>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</si>
  <si>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</si>
  <si>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</si>
  <si>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</si>
  <si>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</si>
  <si>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</si>
  <si>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</si>
  <si>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</si>
  <si>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</si>
  <si>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</si>
  <si>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</si>
  <si>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</si>
  <si>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</si>
  <si>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</si>
  <si>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</si>
  <si>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</si>
  <si>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</si>
  <si>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</si>
  <si>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</si>
  <si>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</si>
  <si>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</si>
  <si>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</si>
  <si>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</si>
  <si>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</si>
  <si>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</si>
  <si>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</si>
  <si>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</si>
  <si>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</si>
  <si>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</si>
  <si>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</si>
  <si>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</si>
  <si>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</si>
  <si>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</si>
  <si>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</si>
  <si>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</si>
  <si>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</si>
  <si>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</si>
  <si>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</si>
  <si>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</si>
  <si>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</si>
  <si>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</si>
  <si>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</si>
  <si>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</si>
  <si>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</si>
  <si>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</si>
  <si>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</si>
  <si>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</si>
  <si>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</si>
  <si>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</si>
  <si>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</si>
  <si>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</si>
  <si>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</si>
  <si>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</si>
  <si>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</si>
  <si>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</si>
  <si>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</si>
  <si>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</si>
  <si>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</si>
  <si>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</si>
  <si>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</si>
  <si>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</si>
  <si>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</si>
  <si>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</si>
  <si>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</si>
  <si>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</si>
  <si>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</si>
  <si>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</si>
  <si>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</si>
  <si>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</si>
  <si>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</si>
  <si>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</si>
  <si>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</si>
  <si>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</si>
  <si>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</si>
  <si>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</si>
  <si>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</si>
  <si>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</si>
  <si>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</si>
  <si>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</si>
  <si>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</si>
  <si>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</si>
  <si>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</si>
  <si>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</si>
  <si>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</si>
  <si>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</si>
  <si>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</si>
  <si>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</si>
  <si>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</si>
  <si>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</si>
  <si>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</si>
  <si>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</si>
  <si>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</si>
  <si>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</si>
  <si>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</si>
  <si>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</si>
  <si>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</si>
  <si>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</si>
  <si>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</si>
  <si>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</si>
  <si>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</si>
  <si>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</si>
  <si>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</si>
  <si>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</si>
  <si>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</si>
  <si>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</si>
  <si>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</si>
  <si>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</si>
  <si>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</si>
  <si>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</si>
  <si>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</si>
  <si>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</si>
  <si>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</si>
  <si>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</si>
  <si>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</si>
  <si>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</si>
  <si>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</si>
  <si>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</si>
  <si>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</si>
  <si>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</si>
  <si>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</si>
  <si>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</si>
  <si>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</si>
  <si>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</si>
  <si>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</si>
  <si>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</si>
  <si>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</si>
  <si>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</si>
  <si>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</si>
  <si>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</si>
  <si>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</si>
  <si>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</si>
  <si>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</si>
  <si>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</si>
  <si>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</si>
  <si>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</si>
  <si>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</si>
  <si>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</si>
  <si>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</si>
  <si>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</si>
  <si>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</si>
  <si>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</si>
  <si>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</si>
  <si>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</si>
  <si>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</si>
  <si>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</si>
  <si>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</si>
  <si>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</si>
  <si>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</si>
  <si>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</si>
  <si>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</si>
  <si>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</si>
  <si>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</si>
  <si>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</si>
  <si>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</si>
  <si>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</si>
  <si>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</si>
  <si>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</si>
  <si>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</si>
  <si>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</si>
  <si>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</si>
  <si>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</si>
  <si>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</si>
  <si>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</si>
  <si>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</si>
  <si>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</si>
  <si>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</si>
  <si>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</si>
  <si>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</si>
  <si>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</si>
  <si>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</si>
  <si>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</si>
  <si>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</si>
  <si>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</si>
  <si>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</si>
  <si>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</si>
  <si>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</si>
  <si>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</si>
  <si>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</si>
  <si>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</si>
  <si>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</si>
  <si>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</si>
  <si>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</si>
  <si>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</si>
  <si>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</si>
  <si>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</si>
  <si>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</si>
  <si>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</si>
  <si>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</si>
  <si>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</si>
  <si>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</si>
  <si>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</si>
  <si>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</si>
  <si>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</si>
  <si>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</si>
  <si>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</si>
  <si>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</si>
  <si>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</si>
  <si>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</si>
  <si>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</si>
  <si>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</si>
  <si>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</si>
  <si>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</si>
  <si>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</si>
  <si>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</si>
  <si>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</si>
  <si>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</si>
  <si>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</si>
  <si>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</si>
  <si>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</si>
  <si>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</si>
  <si>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</si>
  <si>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</si>
  <si>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</si>
  <si>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</si>
  <si>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</si>
  <si>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</si>
  <si>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</si>
  <si>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</si>
  <si>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</si>
  <si>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</si>
  <si>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</si>
  <si>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</si>
  <si>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</si>
  <si>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</si>
  <si>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</si>
  <si>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</si>
  <si>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</si>
  <si>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</si>
  <si>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</si>
  <si>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</si>
  <si>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</si>
  <si>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</si>
  <si>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</si>
  <si>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</si>
  <si>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</si>
  <si>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</si>
  <si>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</si>
  <si>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</si>
  <si>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</si>
  <si>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</si>
  <si>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</si>
  <si>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</si>
  <si>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</si>
  <si>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</si>
  <si>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</si>
  <si>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</si>
  <si>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</si>
  <si>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</si>
  <si>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</si>
  <si>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</si>
  <si>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</si>
  <si>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</si>
  <si>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</si>
  <si>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</si>
  <si>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</si>
  <si>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</si>
  <si>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</si>
  <si>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</si>
  <si>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</si>
  <si>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</si>
  <si>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</si>
  <si>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</si>
  <si>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</si>
  <si>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</si>
  <si>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</si>
  <si>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</si>
  <si>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</si>
  <si>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</si>
  <si>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</si>
  <si>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</si>
  <si>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</si>
  <si>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</si>
  <si>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</si>
  <si>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</si>
  <si>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</si>
  <si>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</si>
  <si>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</si>
  <si>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</si>
  <si>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</si>
  <si>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</si>
  <si>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</si>
  <si>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</si>
  <si>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</si>
  <si>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</si>
  <si>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</si>
  <si>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</si>
  <si>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</si>
  <si>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</si>
  <si>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</si>
  <si>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</si>
  <si>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</si>
  <si>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</si>
  <si>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</si>
  <si>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</si>
  <si>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</si>
  <si>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</si>
  <si>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</si>
  <si>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</si>
  <si>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</si>
  <si>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</si>
  <si>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</si>
  <si>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</si>
  <si>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</si>
  <si>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</si>
  <si>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</si>
  <si>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</si>
  <si>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</si>
  <si>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</si>
  <si>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</si>
  <si>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</si>
  <si>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</si>
  <si>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</si>
  <si>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</si>
  <si>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</si>
  <si>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</si>
  <si>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</si>
  <si>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</si>
  <si>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</si>
  <si>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</si>
  <si>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</si>
  <si>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</si>
  <si>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</si>
  <si>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</si>
  <si>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</si>
  <si>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</si>
  <si>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</si>
  <si>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</si>
  <si>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</si>
  <si>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</si>
  <si>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</si>
  <si>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</si>
  <si>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</si>
  <si>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</si>
  <si>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</si>
  <si>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</si>
  <si>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</si>
  <si>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</si>
  <si>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</si>
  <si>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</si>
  <si>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</si>
  <si>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</si>
  <si>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</si>
  <si>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</si>
  <si>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</si>
  <si>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</si>
  <si>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</si>
  <si>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</si>
  <si>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</si>
  <si>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</si>
  <si>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</si>
  <si>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</si>
  <si>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</si>
  <si>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</si>
  <si>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</si>
  <si>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</si>
  <si>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</si>
  <si>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</si>
  <si>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</si>
  <si>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</si>
  <si>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</si>
  <si>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</si>
  <si>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</si>
  <si>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</si>
  <si>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</si>
  <si>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</si>
  <si>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</si>
  <si>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</si>
  <si>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</si>
  <si>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</si>
  <si>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</si>
  <si>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</si>
  <si>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</si>
  <si>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</si>
  <si>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</si>
  <si>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</si>
  <si>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</si>
  <si>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</si>
  <si>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</si>
  <si>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</si>
  <si>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</si>
  <si>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</si>
  <si>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</si>
  <si>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</si>
  <si>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</si>
  <si>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</si>
  <si>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</si>
  <si>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</si>
  <si>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</si>
  <si>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</si>
  <si>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</si>
  <si>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</si>
  <si>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</si>
  <si>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</si>
  <si>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</si>
  <si>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</si>
  <si>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</si>
  <si>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</si>
  <si>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</si>
  <si>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</si>
  <si>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</si>
  <si>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</si>
  <si>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</si>
  <si>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</si>
  <si>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</si>
  <si>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</si>
  <si>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</si>
  <si>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</si>
  <si>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</si>
  <si>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</si>
  <si>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</si>
  <si>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</si>
  <si>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</si>
  <si>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</si>
  <si>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</si>
  <si>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</si>
  <si>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</si>
  <si>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</si>
  <si>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</si>
  <si>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</si>
  <si>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</si>
  <si>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</si>
  <si>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</si>
  <si>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</si>
  <si>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</si>
  <si>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</si>
  <si>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</si>
  <si>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</si>
  <si>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</si>
  <si>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</si>
  <si>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</si>
  <si>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</si>
  <si>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</si>
  <si>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</si>
  <si>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</si>
  <si>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</si>
  <si>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</si>
  <si>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</si>
  <si>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</si>
  <si>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</si>
  <si>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</si>
  <si>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</si>
  <si>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</si>
  <si>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</si>
  <si>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</si>
  <si>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</si>
  <si>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</si>
  <si>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</si>
  <si>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</si>
  <si>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</si>
  <si>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</si>
  <si>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</si>
  <si>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</si>
  <si>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</si>
  <si>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</si>
  <si>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</si>
  <si>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</si>
  <si>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</si>
  <si>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</si>
  <si>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</si>
  <si>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</si>
  <si>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</si>
  <si>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</si>
  <si>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</si>
  <si>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</si>
  <si>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</si>
  <si>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</si>
  <si>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</si>
  <si>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</si>
  <si>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</si>
  <si>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</si>
  <si>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</si>
  <si>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</si>
  <si>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</si>
  <si>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</si>
  <si>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</si>
  <si>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</si>
  <si>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</si>
  <si>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</si>
  <si>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</si>
  <si>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</si>
  <si>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</si>
  <si>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</si>
  <si>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</si>
  <si>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</si>
  <si>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</si>
  <si>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</si>
  <si>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</si>
  <si>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</si>
  <si>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</si>
  <si>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</si>
  <si>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</si>
  <si>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</si>
  <si>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</si>
  <si>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</si>
  <si>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</si>
  <si>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</si>
  <si>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</si>
  <si>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</si>
  <si>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</si>
  <si>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</si>
  <si>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</si>
  <si>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</si>
  <si>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</si>
  <si>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</si>
  <si>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</si>
  <si>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</si>
  <si>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</si>
  <si>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</si>
  <si>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</si>
  <si>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</si>
  <si>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</si>
  <si>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</si>
  <si>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</si>
  <si>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</si>
  <si>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</si>
  <si>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</si>
  <si>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</si>
  <si>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</si>
  <si>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</si>
  <si>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</si>
  <si>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</si>
  <si>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</si>
  <si>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</si>
  <si>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</si>
  <si>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</si>
  <si>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</si>
  <si>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</si>
  <si>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</si>
  <si>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</si>
  <si>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</si>
  <si>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</si>
  <si>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</si>
  <si>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</si>
  <si>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</si>
  <si>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</si>
  <si>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</si>
  <si>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</si>
  <si>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</si>
  <si>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</si>
  <si>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</si>
  <si>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</si>
  <si>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</si>
  <si>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</si>
  <si>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</si>
  <si>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</si>
  <si>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</si>
  <si>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</si>
  <si>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</si>
  <si>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</si>
  <si>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</si>
  <si>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</si>
  <si>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</si>
  <si>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</si>
  <si>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</si>
  <si>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</si>
  <si>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</si>
  <si>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</si>
  <si>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</si>
  <si>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</si>
  <si>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</si>
  <si>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</si>
  <si>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</si>
  <si>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</si>
  <si>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</si>
  <si>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</si>
  <si>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</si>
  <si>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</si>
  <si>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</si>
  <si>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</si>
  <si>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</si>
  <si>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</si>
  <si>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</si>
  <si>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</si>
  <si>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</si>
  <si>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</si>
  <si>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</si>
  <si>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</si>
  <si>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</si>
  <si>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</si>
  <si>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</si>
  <si>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</si>
  <si>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</si>
  <si>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</si>
  <si>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</si>
  <si>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</si>
  <si>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</si>
  <si>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</si>
  <si>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</si>
  <si>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</si>
  <si>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</si>
  <si>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</si>
  <si>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</si>
  <si>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</si>
  <si>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</si>
  <si>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</si>
  <si>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</si>
  <si>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</si>
  <si>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</si>
  <si>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</si>
  <si>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</si>
  <si>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</si>
  <si>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</si>
  <si>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</si>
  <si>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</si>
  <si>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</si>
  <si>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</si>
  <si>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</si>
  <si>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</si>
  <si>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</si>
  <si>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</si>
  <si>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</si>
  <si>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</si>
  <si>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</si>
  <si>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</si>
  <si>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</si>
  <si>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</si>
  <si>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</si>
  <si>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</si>
  <si>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</si>
  <si>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</si>
  <si>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</si>
  <si>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</si>
  <si>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</si>
  <si>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</si>
  <si>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</si>
  <si>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</si>
  <si>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</si>
  <si>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</si>
  <si>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</si>
  <si>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</si>
  <si>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</si>
  <si>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</si>
  <si>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</si>
  <si>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</si>
  <si>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</si>
  <si>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</si>
  <si>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</si>
  <si>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</si>
  <si>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</si>
  <si>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</si>
  <si>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</si>
  <si>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</si>
  <si>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</si>
  <si>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</si>
  <si>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</si>
  <si>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</si>
  <si>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</si>
  <si>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</si>
  <si>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</si>
  <si>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</si>
  <si>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</si>
  <si>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</si>
  <si>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</si>
  <si>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</si>
  <si>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</si>
  <si>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</si>
  <si>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</si>
  <si>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</si>
  <si>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</si>
  <si>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</si>
  <si>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</si>
  <si>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</si>
  <si>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</si>
  <si>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</si>
  <si>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</si>
  <si>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</si>
  <si>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</si>
  <si>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</si>
  <si>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</si>
  <si>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</si>
  <si>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</si>
  <si>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</si>
  <si>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</si>
  <si>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</si>
  <si>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</si>
  <si>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</si>
  <si>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</si>
  <si>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</si>
  <si>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</si>
  <si>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</si>
  <si>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</si>
  <si>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</si>
  <si>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</si>
  <si>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</si>
  <si>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</si>
  <si>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</si>
  <si>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</si>
  <si>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</si>
  <si>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</si>
  <si>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</si>
  <si>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</si>
  <si>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</si>
  <si>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</si>
  <si>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</si>
  <si>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</si>
  <si>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</si>
  <si>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</si>
  <si>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</si>
  <si>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</si>
  <si>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</si>
  <si>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</si>
  <si>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</si>
  <si>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</si>
  <si>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</si>
  <si>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</si>
  <si>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</si>
  <si>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</si>
  <si>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</si>
  <si>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</si>
  <si>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</si>
  <si>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</si>
  <si>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</si>
  <si>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</si>
  <si>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</si>
  <si>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</si>
  <si>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</si>
  <si>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</si>
  <si>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</si>
  <si>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</si>
  <si>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</si>
  <si>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</si>
  <si>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</si>
  <si>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</si>
  <si>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</si>
  <si>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</si>
  <si>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</si>
  <si>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</si>
  <si>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</si>
  <si>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</si>
  <si>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</si>
  <si>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</si>
  <si>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</si>
  <si>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</si>
  <si>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</si>
  <si>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</si>
  <si>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</si>
  <si>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</si>
  <si>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</si>
  <si>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</si>
  <si>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</si>
  <si>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</si>
  <si>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</si>
  <si>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</si>
  <si>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</si>
  <si>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</si>
  <si>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</si>
  <si>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</si>
  <si>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</si>
  <si>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</si>
  <si>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</si>
  <si>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</si>
  <si>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</si>
  <si>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</si>
  <si>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</si>
  <si>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</si>
  <si>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</si>
  <si>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</si>
  <si>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</si>
  <si>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</si>
  <si>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</si>
  <si>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</si>
  <si>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</si>
  <si>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</si>
  <si>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</si>
  <si>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</si>
  <si>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</si>
  <si>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</si>
  <si>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</si>
  <si>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</si>
  <si>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</si>
  <si>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</si>
  <si>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</si>
  <si>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</si>
  <si>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</si>
  <si>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</si>
  <si>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</si>
  <si>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</si>
  <si>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</si>
  <si>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</si>
  <si>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</si>
  <si>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</si>
  <si>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</si>
  <si>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</si>
  <si>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</si>
  <si>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</si>
  <si>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</si>
  <si>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</si>
  <si>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</si>
  <si>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</si>
  <si>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</si>
  <si>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</si>
  <si>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</si>
  <si>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</si>
  <si>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</si>
  <si>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</si>
  <si>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</si>
  <si>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</si>
  <si>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</si>
  <si>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</si>
  <si>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</si>
  <si>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</si>
  <si>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</si>
  <si>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</si>
  <si>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</si>
  <si>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</si>
  <si>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</si>
  <si>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</si>
  <si>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</si>
  <si>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</si>
  <si>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</si>
  <si>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</si>
  <si>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</si>
  <si>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</si>
  <si>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</si>
  <si>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</si>
  <si>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</si>
  <si>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</si>
  <si>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</si>
  <si>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</si>
  <si>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</si>
  <si>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</si>
  <si>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</si>
  <si>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</si>
  <si>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</si>
  <si>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</si>
  <si>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</si>
  <si>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</si>
  <si>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</si>
  <si>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</si>
  <si>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</si>
  <si>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</si>
  <si>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</si>
  <si>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</si>
  <si>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</si>
  <si>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</si>
  <si>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</si>
  <si>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</si>
  <si>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</si>
  <si>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</si>
  <si>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</si>
  <si>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</si>
  <si>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</si>
  <si>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</si>
  <si>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</si>
  <si>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</si>
  <si>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</si>
  <si>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</si>
  <si>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</si>
  <si>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</si>
  <si>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</si>
  <si>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</si>
  <si>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</si>
  <si>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</si>
  <si>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</si>
  <si>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</si>
  <si>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</si>
  <si>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</si>
  <si>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</si>
  <si>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</si>
  <si>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</si>
  <si>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</si>
  <si>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</si>
  <si>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</si>
  <si>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</si>
  <si>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</si>
  <si>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</si>
  <si>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</si>
  <si>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</si>
  <si>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</si>
  <si>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</si>
  <si>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</si>
  <si>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</si>
  <si>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</si>
  <si>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</si>
  <si>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</si>
  <si>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</si>
  <si>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</si>
  <si>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</si>
  <si>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</si>
  <si>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</si>
  <si>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</si>
  <si>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</si>
  <si>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</si>
  <si>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</si>
  <si>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</si>
  <si>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</si>
  <si>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</si>
  <si>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</si>
  <si>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</si>
  <si>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</si>
  <si>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</si>
  <si>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</si>
  <si>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</si>
  <si>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</si>
  <si>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</si>
  <si>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</si>
  <si>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</si>
  <si>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</si>
  <si>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</si>
  <si>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</si>
  <si>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</si>
  <si>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</si>
  <si>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</si>
  <si>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</si>
  <si>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</si>
  <si>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</si>
  <si>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</si>
  <si>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</si>
  <si>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</si>
  <si>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</si>
  <si>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</si>
  <si>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</si>
  <si>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</si>
  <si>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</si>
  <si>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</si>
  <si>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</si>
  <si>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</si>
  <si>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</si>
  <si>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</si>
  <si>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</si>
  <si>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</si>
  <si>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</si>
  <si>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</si>
  <si>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</si>
  <si>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</si>
  <si>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</si>
  <si>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</si>
  <si>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</si>
  <si>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</si>
  <si>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</si>
  <si>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</si>
  <si>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</si>
  <si>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</si>
  <si>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</si>
  <si>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</si>
  <si>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</si>
  <si>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</si>
  <si>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</si>
  <si>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</si>
  <si>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</si>
  <si>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</si>
  <si>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</si>
  <si>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</si>
  <si>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</si>
  <si>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</si>
  <si>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</si>
  <si>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</si>
  <si>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</si>
  <si>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</si>
  <si>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</si>
  <si>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</si>
  <si>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</si>
  <si>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</si>
  <si>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</si>
  <si>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</si>
  <si>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</si>
  <si>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</si>
  <si>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</si>
  <si>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</si>
  <si>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</si>
  <si>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</si>
  <si>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</si>
  <si>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</si>
  <si>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</si>
  <si>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</si>
  <si>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</si>
  <si>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</si>
  <si>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</si>
  <si>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</si>
  <si>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</si>
  <si>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</si>
  <si>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</si>
  <si>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</si>
  <si>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</si>
  <si>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</si>
  <si>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</si>
  <si>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</si>
  <si>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</si>
  <si>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</si>
  <si>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</si>
  <si>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</si>
  <si>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</si>
  <si>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</si>
  <si>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</si>
  <si>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</si>
  <si>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</si>
  <si>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</si>
  <si>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</si>
  <si>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</si>
  <si>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</si>
  <si>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</si>
  <si>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</si>
  <si>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</si>
  <si>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</si>
  <si>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</si>
  <si>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</si>
  <si>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</si>
  <si>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</si>
  <si>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</si>
  <si>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</si>
  <si>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</si>
  <si>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</si>
  <si>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</si>
  <si>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</si>
  <si>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</si>
  <si>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</si>
  <si>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</si>
  <si>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</si>
  <si>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</si>
  <si>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</si>
  <si>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</si>
  <si>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</si>
  <si>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</si>
  <si>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</si>
  <si>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</si>
  <si>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</si>
  <si>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</si>
  <si>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</si>
  <si>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</si>
  <si>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</si>
  <si>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</si>
  <si>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</si>
  <si>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</si>
  <si>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</si>
  <si>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</si>
  <si>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</si>
  <si>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</si>
  <si>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</si>
  <si>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</si>
  <si>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</si>
  <si>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</si>
  <si>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</si>
  <si>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</si>
  <si>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</si>
  <si>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</si>
  <si>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</si>
  <si>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</si>
  <si>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</si>
  <si>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</si>
  <si>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</si>
  <si>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</si>
  <si>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</si>
  <si>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</si>
  <si>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</si>
  <si>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</si>
  <si>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</si>
  <si>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</si>
  <si>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</si>
  <si>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</si>
  <si>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</si>
  <si>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</si>
  <si>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</si>
  <si>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</si>
  <si>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</si>
  <si>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</si>
  <si>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</si>
  <si>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</si>
  <si>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</si>
  <si>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</si>
  <si>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</si>
  <si>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</si>
  <si>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</si>
  <si>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</si>
  <si>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</si>
  <si>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</si>
  <si>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</si>
  <si>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</si>
  <si>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</si>
  <si>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</si>
  <si>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</si>
  <si>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</si>
  <si>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</si>
  <si>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</si>
  <si>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</si>
  <si>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</si>
  <si>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</si>
  <si>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</si>
  <si>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</si>
  <si>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</si>
  <si>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</si>
  <si>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</si>
  <si>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</si>
  <si>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</si>
  <si>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</si>
  <si>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</si>
  <si>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</si>
  <si>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</si>
  <si>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</si>
  <si>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</si>
  <si>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</si>
  <si>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</si>
  <si>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</si>
  <si>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</si>
  <si>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</si>
  <si>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</si>
  <si>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</si>
  <si>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</si>
  <si>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</si>
  <si>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</si>
  <si>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</si>
  <si>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</si>
  <si>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</si>
  <si>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</si>
  <si>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</si>
  <si>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</si>
  <si>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</si>
  <si>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</si>
  <si>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</si>
  <si>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</si>
  <si>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</si>
  <si>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</si>
  <si>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</si>
  <si>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</si>
  <si>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</si>
  <si>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</si>
  <si>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</si>
  <si>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</si>
  <si>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</si>
  <si>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</si>
  <si>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</si>
  <si>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</si>
  <si>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</si>
  <si>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</si>
  <si>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</si>
  <si>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</si>
  <si>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</si>
  <si>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</si>
  <si>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</si>
  <si>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</si>
  <si>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</si>
  <si>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</si>
  <si>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</si>
  <si>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</si>
  <si>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</si>
  <si>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</si>
  <si>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</si>
  <si>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</si>
  <si>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</si>
  <si>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</si>
  <si>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</si>
  <si>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</si>
  <si>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</si>
  <si>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</si>
  <si>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</si>
  <si>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</si>
  <si>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</si>
  <si>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</si>
  <si>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</si>
  <si>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</si>
  <si>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</si>
  <si>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</si>
  <si>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</si>
  <si>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</si>
  <si>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</si>
  <si>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</si>
  <si>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</si>
  <si>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</si>
  <si>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</si>
  <si>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</si>
  <si>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</si>
  <si>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</si>
  <si>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</si>
  <si>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</si>
  <si>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</si>
  <si>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</si>
  <si>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</si>
  <si>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</si>
  <si>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</si>
  <si>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</si>
  <si>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</si>
  <si>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</si>
  <si>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</si>
  <si>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</si>
  <si>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</si>
  <si>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</si>
  <si>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</si>
  <si>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</si>
  <si>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</si>
  <si>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</si>
  <si>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</si>
  <si>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</si>
  <si>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</si>
  <si>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</si>
  <si>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</si>
  <si>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</si>
  <si>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</si>
  <si>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</si>
  <si>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</si>
  <si>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</si>
  <si>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</si>
  <si>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</si>
  <si>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</si>
  <si>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</si>
  <si>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</si>
  <si>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</si>
  <si>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</si>
  <si>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</si>
  <si>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</si>
  <si>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</si>
  <si>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</si>
  <si>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</si>
  <si>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</si>
  <si>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</si>
  <si>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</si>
  <si>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</si>
  <si>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</si>
  <si>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</si>
  <si>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</si>
  <si>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</si>
  <si>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</si>
  <si>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</si>
  <si>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</si>
  <si>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</si>
  <si>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</si>
  <si>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</si>
  <si>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</si>
  <si>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</si>
  <si>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</si>
  <si>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</si>
  <si>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</si>
  <si>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</si>
  <si>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</si>
  <si>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</si>
  <si>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</si>
  <si>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</si>
  <si>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</si>
  <si>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</si>
  <si>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</si>
  <si>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</si>
  <si>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</si>
  <si>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</si>
  <si>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</si>
  <si>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</si>
  <si>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</si>
  <si>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</si>
  <si>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</si>
  <si>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</si>
  <si>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</si>
  <si>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</si>
  <si>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</si>
  <si>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</si>
  <si>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</si>
  <si>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</si>
  <si>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</si>
  <si>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</si>
  <si>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</si>
  <si>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</si>
  <si>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</si>
  <si>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</si>
  <si>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</si>
  <si>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</si>
  <si>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</si>
  <si>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</si>
  <si>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</si>
  <si>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</si>
  <si>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</si>
  <si>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</si>
  <si>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</si>
  <si>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</si>
  <si>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</si>
  <si>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</si>
  <si>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</si>
  <si>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</si>
  <si>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</si>
  <si>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</si>
  <si>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</si>
  <si>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</si>
  <si>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</si>
  <si>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</si>
  <si>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</si>
  <si>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</si>
  <si>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</si>
  <si>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</si>
  <si>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</si>
  <si>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</si>
  <si>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</si>
  <si>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</si>
  <si>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</si>
  <si>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</si>
  <si>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</si>
  <si>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</si>
  <si>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</si>
  <si>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</si>
  <si>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</si>
  <si>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</si>
  <si>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</si>
  <si>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</si>
  <si>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</si>
  <si>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</si>
  <si>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</si>
  <si>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</si>
  <si>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</si>
  <si>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</si>
  <si>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</si>
  <si>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</si>
  <si>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</si>
  <si>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</si>
  <si>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</si>
  <si>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</si>
  <si>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</si>
  <si>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</si>
  <si>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</si>
  <si>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</si>
  <si>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</si>
  <si>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</si>
  <si>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</si>
  <si>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</si>
  <si>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</si>
  <si>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</si>
  <si>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</si>
  <si>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</si>
  <si>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</si>
  <si>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</si>
  <si>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</si>
  <si>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</si>
  <si>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</si>
  <si>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</si>
  <si>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</si>
  <si>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</si>
  <si>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</si>
  <si>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</si>
  <si>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</si>
  <si>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</si>
  <si>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</si>
  <si>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</si>
  <si>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</si>
  <si>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</si>
  <si>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</si>
  <si>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</si>
  <si>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</si>
  <si>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</si>
  <si>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</si>
  <si>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</si>
  <si>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</si>
  <si>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</si>
  <si>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</si>
  <si>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</si>
  <si>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</si>
  <si>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</si>
  <si>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</si>
  <si>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</si>
  <si>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</si>
  <si>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</si>
  <si>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</si>
  <si>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</si>
  <si>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</si>
  <si>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</si>
  <si>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</si>
  <si>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</si>
  <si>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</si>
  <si>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</si>
  <si>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</si>
  <si>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</si>
  <si>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</si>
  <si>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</si>
  <si>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</si>
  <si>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</si>
  <si>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</si>
  <si>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</si>
  <si>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</si>
  <si>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</si>
  <si>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</si>
  <si>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</si>
  <si>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</si>
  <si>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</si>
  <si>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</si>
  <si>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</si>
  <si>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</si>
  <si>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</si>
  <si>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</si>
  <si>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</si>
  <si>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</si>
  <si>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</si>
  <si>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</si>
  <si>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</si>
  <si>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</si>
  <si>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</si>
  <si>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</si>
  <si>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</si>
  <si>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</si>
  <si>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</si>
  <si>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</si>
  <si>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</si>
  <si>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</si>
  <si>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</si>
  <si>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</si>
  <si>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</si>
  <si>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</si>
  <si>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</si>
  <si>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</si>
  <si>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</si>
  <si>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</si>
  <si>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</si>
  <si>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</si>
  <si>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</si>
  <si>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</si>
  <si>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</si>
  <si>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</si>
  <si>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</si>
  <si>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</si>
  <si>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</si>
  <si>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</si>
  <si>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</si>
  <si>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</si>
  <si>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</si>
  <si>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</si>
  <si>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</si>
  <si>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</si>
  <si>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</si>
  <si>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</si>
  <si>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</si>
  <si>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</si>
  <si>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</si>
  <si>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</si>
  <si>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</si>
  <si>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</si>
  <si>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</si>
  <si>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</si>
  <si>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</si>
  <si>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</si>
  <si>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</si>
  <si>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</si>
  <si>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</si>
  <si>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</si>
  <si>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</si>
  <si>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</si>
  <si>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</si>
  <si>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</si>
  <si>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</si>
  <si>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</si>
  <si>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</si>
  <si>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</si>
  <si>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</si>
  <si>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</si>
  <si>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</si>
  <si>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</si>
  <si>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</si>
  <si>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</si>
  <si>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</si>
  <si>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</si>
  <si>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</si>
  <si>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</si>
  <si>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</si>
  <si>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</si>
  <si>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</si>
  <si>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</si>
  <si>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</si>
  <si>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</si>
  <si>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</si>
  <si>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</si>
  <si>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</si>
  <si>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</si>
  <si>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</si>
  <si>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</si>
  <si>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</si>
  <si>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</si>
  <si>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</si>
  <si>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</si>
  <si>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</si>
  <si>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</si>
  <si>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</si>
  <si>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</si>
  <si>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</si>
  <si>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</si>
  <si>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</si>
  <si>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</si>
  <si>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</si>
  <si>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</si>
  <si>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</si>
  <si>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</si>
  <si>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</si>
  <si>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</si>
  <si>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</si>
  <si>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</si>
  <si>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</si>
  <si>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</si>
  <si>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</si>
  <si>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</si>
  <si>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</si>
  <si>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</si>
  <si>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</si>
  <si>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</si>
  <si>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</si>
  <si>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</si>
  <si>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</si>
  <si>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</si>
  <si>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</si>
  <si>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</si>
  <si>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</si>
  <si>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</si>
  <si>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</si>
  <si>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</si>
  <si>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</si>
  <si>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</si>
  <si>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</si>
  <si>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</si>
  <si>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</si>
  <si>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</si>
  <si>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</si>
  <si>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</si>
  <si>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</si>
  <si>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</si>
  <si>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</si>
  <si>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</si>
  <si>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</si>
  <si>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</si>
  <si>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</si>
  <si>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</si>
  <si>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</si>
  <si>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</si>
  <si>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</si>
  <si>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</si>
  <si>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</si>
  <si>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</si>
  <si>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</si>
  <si>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</si>
  <si>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</si>
  <si>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</si>
  <si>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</si>
  <si>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</si>
  <si>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</si>
  <si>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</si>
  <si>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</si>
  <si>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</si>
  <si>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</si>
  <si>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</si>
  <si>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</si>
  <si>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</si>
  <si>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</si>
  <si>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</si>
  <si>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</si>
  <si>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</si>
  <si>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</si>
  <si>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</si>
  <si>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</si>
  <si>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</si>
  <si>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</si>
  <si>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</si>
  <si>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</si>
  <si>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</si>
  <si>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</si>
  <si>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</si>
  <si>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</si>
  <si>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</si>
  <si>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</si>
  <si>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</si>
  <si>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</si>
  <si>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</si>
  <si>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</si>
  <si>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</si>
  <si>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</si>
  <si>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</si>
  <si>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</si>
  <si>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</si>
  <si>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</si>
  <si>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</si>
  <si>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</si>
  <si>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</si>
  <si>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</si>
  <si>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</si>
  <si>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</si>
  <si>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</si>
  <si>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</si>
  <si>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</si>
  <si>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</si>
  <si>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</si>
  <si>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</si>
  <si>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</si>
  <si>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</si>
  <si>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</si>
  <si>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</si>
  <si>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</si>
  <si>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</si>
  <si>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</si>
  <si>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</si>
  <si>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</si>
  <si>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</si>
  <si>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</si>
  <si>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</si>
  <si>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</si>
  <si>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</si>
  <si>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</si>
  <si>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</si>
  <si>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</si>
  <si>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</si>
  <si>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</si>
  <si>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</si>
  <si>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</si>
  <si>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</si>
  <si>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</si>
  <si>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</si>
  <si>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</si>
  <si>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</si>
  <si>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</si>
  <si>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</si>
  <si>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</si>
  <si>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</si>
  <si>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</si>
  <si>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</si>
  <si>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</si>
  <si>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</si>
  <si>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</si>
  <si>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</si>
  <si>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</si>
  <si>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</si>
  <si>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</si>
  <si>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</si>
  <si>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</si>
  <si>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</si>
  <si>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</si>
  <si>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</si>
  <si>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</si>
  <si>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</si>
  <si>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</si>
  <si>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</si>
  <si>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</si>
  <si>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</si>
  <si>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</si>
  <si>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</si>
  <si>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</si>
  <si>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</si>
  <si>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</si>
  <si>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</si>
  <si>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</si>
  <si>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</si>
  <si>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</si>
  <si>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</si>
  <si>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</si>
  <si>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</si>
  <si>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</si>
  <si>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</si>
  <si>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</si>
  <si>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</si>
  <si>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</si>
  <si>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</si>
  <si>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</si>
  <si>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</si>
  <si>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</si>
  <si>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</si>
  <si>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</si>
  <si>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</si>
  <si>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</si>
  <si>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</si>
  <si>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</si>
  <si>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</si>
  <si>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</si>
  <si>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</si>
  <si>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</si>
  <si>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</si>
  <si>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</si>
  <si>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</si>
  <si>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</si>
  <si>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</si>
  <si>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</si>
  <si>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</si>
  <si>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</si>
  <si>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</si>
  <si>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</si>
  <si>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</si>
  <si>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</si>
  <si>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</si>
  <si>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</si>
  <si>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</si>
  <si>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</si>
  <si>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</si>
  <si>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</si>
  <si>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</si>
  <si>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</si>
  <si>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</si>
  <si>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</si>
  <si>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</si>
  <si>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</si>
  <si>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</si>
  <si>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</si>
  <si>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</si>
  <si>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</si>
  <si>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</si>
  <si>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</si>
  <si>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</si>
  <si>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</si>
  <si>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</si>
  <si>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</si>
  <si>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</si>
  <si>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</si>
  <si>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</si>
  <si>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</si>
  <si>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</si>
  <si>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</si>
  <si>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</si>
  <si>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</si>
  <si>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</si>
  <si>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</si>
  <si>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</si>
  <si>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</si>
  <si>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</si>
  <si>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</si>
  <si>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</si>
  <si>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</si>
  <si>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</si>
  <si>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</si>
  <si>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</si>
  <si>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</si>
  <si>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</si>
  <si>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</si>
  <si>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</si>
  <si>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</si>
  <si>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</si>
  <si>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</si>
  <si>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</si>
  <si>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</si>
  <si>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</si>
  <si>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</si>
  <si>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</si>
  <si>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</si>
  <si>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</si>
  <si>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</si>
  <si>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</si>
  <si>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</si>
  <si>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</si>
  <si>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</si>
  <si>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</si>
  <si>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</si>
  <si>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</si>
  <si>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</si>
  <si>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</si>
  <si>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</si>
  <si>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</si>
  <si>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</si>
  <si>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</si>
  <si>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</si>
  <si>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</si>
  <si>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</si>
  <si>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</si>
  <si>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</si>
  <si>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</si>
  <si>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</si>
  <si>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</si>
  <si>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</si>
  <si>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</si>
  <si>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</si>
  <si>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</si>
  <si>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</si>
  <si>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</si>
  <si>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</si>
  <si>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</si>
  <si>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</si>
  <si>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</si>
  <si>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</si>
  <si>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</si>
  <si>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</si>
  <si>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</si>
  <si>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</si>
  <si>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</si>
  <si>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</si>
  <si>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</si>
  <si>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</si>
  <si>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</si>
  <si>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</si>
  <si>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</si>
  <si>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</si>
  <si>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</si>
  <si>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</si>
  <si>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</si>
  <si>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</si>
  <si>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</si>
  <si>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</si>
  <si>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</si>
  <si>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</si>
  <si>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</si>
  <si>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</si>
  <si>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</si>
  <si>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</si>
  <si>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</si>
  <si>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</si>
  <si>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</si>
  <si>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</si>
  <si>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</si>
  <si>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</si>
  <si>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</si>
  <si>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</si>
  <si>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</si>
  <si>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</si>
  <si>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</si>
  <si>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</si>
  <si>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</si>
  <si>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</si>
  <si>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</si>
  <si>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</si>
  <si>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</si>
  <si>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</si>
  <si>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</si>
  <si>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</si>
  <si>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</si>
  <si>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</si>
  <si>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</si>
  <si>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</si>
  <si>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</si>
  <si>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</si>
  <si>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</si>
  <si>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</si>
  <si>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</si>
  <si>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</si>
  <si>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</si>
  <si>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</si>
  <si>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</si>
  <si>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</si>
  <si>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</si>
  <si>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</si>
  <si>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</si>
  <si>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</si>
  <si>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</si>
  <si>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</si>
  <si>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</si>
  <si>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</si>
  <si>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</si>
  <si>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</si>
  <si>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</si>
  <si>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</si>
  <si>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</si>
  <si>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</si>
  <si>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</si>
  <si>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</si>
  <si>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</si>
  <si>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</si>
  <si>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</si>
  <si>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</si>
  <si>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</si>
  <si>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</si>
  <si>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</si>
  <si>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</si>
  <si>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</si>
  <si>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</si>
  <si>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</si>
  <si>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</si>
  <si>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</si>
  <si>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</si>
  <si>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</si>
  <si>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</si>
  <si>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</si>
  <si>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</si>
  <si>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</si>
  <si>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</si>
  <si>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</si>
  <si>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</si>
  <si>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</si>
  <si>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</si>
  <si>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</si>
  <si>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</si>
  <si>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</si>
  <si>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</si>
  <si>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</si>
  <si>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</si>
  <si>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</si>
  <si>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</si>
  <si>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</si>
  <si>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</si>
  <si>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</si>
  <si>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</si>
  <si>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</si>
  <si>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</si>
  <si>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</si>
  <si>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</si>
  <si>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</si>
  <si>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</si>
  <si>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</si>
  <si>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</si>
  <si>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</si>
  <si>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</si>
  <si>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</si>
  <si>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</si>
  <si>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</si>
  <si>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</si>
  <si>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</si>
  <si>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</si>
  <si>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</si>
  <si>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</si>
  <si>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</si>
  <si>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</si>
  <si>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</si>
  <si>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</si>
  <si>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</si>
  <si>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</si>
  <si>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</si>
  <si>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</si>
  <si>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</si>
  <si>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</si>
  <si>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</si>
  <si>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</si>
  <si>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</si>
  <si>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</si>
  <si>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</si>
  <si>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</si>
  <si>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</si>
  <si>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</si>
  <si>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</si>
  <si>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</si>
  <si>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</si>
  <si>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</si>
  <si>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</si>
  <si>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</si>
  <si>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</si>
  <si>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</si>
  <si>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</si>
  <si>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</si>
  <si>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</si>
  <si>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</si>
  <si>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</si>
  <si>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</si>
  <si>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</si>
  <si>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</si>
  <si>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</si>
  <si>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</si>
  <si>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</si>
  <si>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</si>
  <si>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</si>
  <si>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</si>
  <si>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</si>
  <si>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</si>
  <si>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</si>
  <si>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</si>
  <si>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</si>
  <si>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</si>
  <si>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</si>
  <si>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</si>
  <si>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</si>
  <si>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</si>
  <si>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</si>
  <si>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</si>
  <si>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</si>
  <si>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</si>
  <si>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</si>
  <si>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</si>
  <si>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</si>
  <si>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</si>
  <si>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</si>
  <si>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</si>
  <si>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</si>
  <si>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</si>
  <si>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</si>
  <si>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</si>
  <si>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</si>
  <si>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</si>
  <si>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</si>
  <si>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</si>
  <si>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</si>
  <si>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</si>
  <si>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</si>
  <si>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</si>
  <si>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</si>
  <si>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</si>
  <si>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</si>
  <si>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</si>
  <si>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</si>
  <si>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</si>
  <si>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</si>
  <si>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</si>
  <si>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</si>
  <si>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</si>
  <si>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</si>
  <si>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</si>
  <si>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</si>
  <si>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</si>
  <si>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</si>
  <si>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</si>
  <si>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</si>
  <si>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</si>
  <si>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</si>
  <si>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</si>
  <si>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</si>
  <si>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</si>
  <si>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</si>
  <si>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</si>
  <si>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</si>
  <si>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</si>
  <si>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</si>
  <si>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</si>
  <si>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</si>
  <si>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</si>
  <si>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</si>
  <si>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</si>
  <si>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</si>
  <si>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</si>
  <si>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</si>
  <si>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</si>
  <si>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</si>
  <si>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</si>
  <si>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</si>
  <si>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</si>
  <si>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</si>
  <si>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</si>
  <si>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</si>
  <si>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</si>
  <si>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</si>
  <si>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</si>
  <si>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</si>
  <si>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</si>
  <si>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</si>
  <si>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</si>
  <si>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</si>
  <si>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</si>
  <si>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</si>
  <si>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</si>
  <si>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</si>
  <si>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</si>
  <si>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</si>
  <si>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</si>
  <si>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</si>
  <si>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</si>
  <si>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</si>
  <si>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</si>
  <si>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</si>
  <si>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</si>
  <si>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</si>
  <si>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</si>
  <si>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</si>
  <si>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</si>
  <si>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</si>
  <si>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</si>
  <si>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</si>
  <si>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</si>
  <si>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</si>
  <si>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</si>
  <si>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</si>
  <si>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</si>
  <si>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</si>
  <si>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</si>
  <si>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</si>
  <si>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</si>
  <si>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</si>
  <si>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</si>
  <si>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</si>
  <si>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</si>
  <si>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</si>
  <si>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</si>
  <si>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</si>
  <si>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</si>
  <si>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</si>
  <si>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</si>
  <si>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</si>
  <si>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</si>
  <si>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</si>
  <si>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</si>
  <si>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</si>
  <si>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</si>
  <si>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</si>
  <si>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</si>
  <si>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</si>
  <si>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</si>
  <si>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</si>
  <si>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</si>
  <si>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</si>
  <si>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</si>
  <si>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</si>
  <si>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</si>
  <si>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</si>
  <si>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</si>
  <si>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</si>
  <si>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</si>
  <si>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</si>
  <si>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</si>
  <si>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</si>
  <si>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</si>
  <si>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</si>
  <si>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</si>
  <si>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</si>
  <si>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</si>
  <si>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</si>
  <si>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</si>
  <si>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</si>
  <si>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</si>
  <si>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</si>
  <si>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</si>
  <si>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</si>
  <si>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</si>
  <si>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</si>
  <si>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</si>
  <si>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</si>
  <si>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</si>
  <si>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</si>
  <si>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</si>
  <si>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</si>
  <si>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</si>
  <si>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</si>
  <si>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</si>
  <si>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</si>
  <si>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</si>
  <si>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</si>
  <si>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</si>
  <si>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</si>
  <si>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</si>
  <si>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</si>
  <si>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</si>
  <si>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</si>
  <si>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</si>
  <si>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</si>
  <si>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</si>
  <si>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</si>
  <si>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</si>
  <si>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</si>
  <si>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</si>
  <si>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</si>
  <si>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</si>
  <si>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</si>
  <si>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</si>
  <si>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</si>
  <si>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</si>
  <si>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</si>
  <si>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</si>
  <si>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</si>
  <si>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</si>
  <si>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</si>
  <si>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</si>
  <si>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</si>
  <si>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</si>
  <si>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</si>
  <si>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</si>
  <si>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</si>
  <si>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</si>
  <si>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</si>
  <si>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</si>
  <si>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</si>
  <si>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</si>
  <si>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</si>
  <si>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</si>
  <si>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</si>
  <si>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</si>
  <si>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</si>
  <si>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</si>
  <si>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</si>
  <si>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</si>
  <si>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</si>
  <si>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</si>
  <si>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</si>
  <si>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</si>
  <si>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</si>
  <si>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</si>
  <si>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</si>
  <si>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</si>
  <si>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</si>
  <si>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</si>
  <si>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</si>
  <si>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</si>
  <si>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</si>
  <si>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</si>
  <si>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</si>
  <si>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</si>
  <si>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</si>
  <si>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</si>
  <si>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</si>
  <si>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</si>
  <si>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</si>
  <si>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</si>
  <si>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</si>
  <si>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</si>
  <si>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</si>
  <si>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</si>
  <si>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</si>
  <si>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</si>
  <si>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</si>
  <si>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</si>
  <si>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</si>
  <si>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</si>
  <si>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</si>
  <si>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</si>
  <si>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</si>
  <si>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</si>
  <si>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</si>
  <si>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</si>
  <si>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</si>
  <si>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</si>
  <si>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</si>
  <si>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</si>
  <si>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</si>
  <si>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</si>
  <si>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</si>
  <si>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</si>
  <si>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</si>
  <si>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</si>
  <si>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</si>
  <si>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</si>
  <si>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</si>
  <si>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</si>
  <si>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</si>
  <si>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</si>
  <si>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</si>
  <si>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</si>
  <si>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</si>
  <si>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</si>
  <si>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</si>
  <si>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</si>
  <si>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</si>
  <si>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</si>
  <si>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</si>
  <si>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</si>
  <si>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</si>
  <si>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</si>
  <si>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</si>
  <si>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</si>
  <si>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</si>
  <si>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</si>
  <si>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</si>
  <si>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</si>
  <si>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</si>
  <si>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</si>
  <si>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</si>
  <si>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</si>
  <si>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</si>
  <si>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</si>
  <si>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</si>
  <si>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</si>
  <si>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</si>
  <si>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</si>
  <si>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</si>
  <si>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</si>
  <si>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</si>
  <si>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</si>
  <si>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</si>
  <si>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</si>
  <si>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</si>
  <si>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</si>
  <si>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</si>
  <si>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</si>
  <si>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</si>
  <si>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</si>
  <si>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</si>
  <si>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</si>
  <si>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</si>
  <si>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</si>
  <si>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</si>
  <si>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</si>
  <si>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</si>
  <si>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</si>
  <si>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</si>
  <si>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</si>
  <si>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</si>
  <si>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</si>
  <si>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</si>
  <si>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</si>
  <si>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</si>
  <si>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</si>
  <si>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</si>
  <si>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</si>
  <si>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</si>
  <si>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</si>
  <si>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</si>
  <si>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</si>
  <si>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</si>
  <si>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</si>
  <si>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</si>
  <si>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</si>
  <si>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</si>
  <si>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</si>
  <si>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</si>
  <si>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</si>
  <si>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</si>
  <si>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</si>
  <si>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</si>
  <si>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</si>
  <si>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</si>
  <si>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</si>
  <si>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</si>
  <si>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</si>
  <si>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</si>
  <si>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</si>
  <si>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</si>
  <si>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</si>
  <si>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</si>
  <si>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</si>
  <si>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</si>
  <si>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</si>
  <si>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</si>
  <si>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</si>
  <si>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</si>
  <si>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</si>
  <si>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</si>
  <si>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</si>
  <si>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</si>
  <si>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</si>
  <si>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</si>
  <si>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</si>
  <si>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</si>
  <si>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</si>
  <si>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</si>
  <si>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</si>
  <si>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</si>
  <si>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</si>
  <si>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</si>
  <si>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</si>
  <si>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</si>
  <si>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</si>
  <si>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</si>
  <si>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</si>
  <si>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</si>
  <si>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</si>
  <si>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</si>
  <si>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</si>
  <si>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</si>
  <si>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</si>
  <si>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</si>
  <si>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</si>
  <si>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</si>
  <si>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</si>
  <si>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</si>
  <si>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</si>
  <si>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</si>
  <si>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</si>
  <si>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</si>
  <si>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</si>
  <si>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</si>
  <si>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</si>
  <si>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</si>
  <si>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</si>
  <si>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</si>
  <si>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</si>
  <si>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</si>
  <si>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</si>
  <si>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</si>
  <si>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</si>
  <si>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</si>
  <si>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</si>
  <si>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</si>
  <si>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</si>
  <si>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</si>
  <si>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</si>
  <si>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</si>
  <si>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</si>
  <si>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</si>
  <si>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</si>
  <si>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</si>
  <si>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</si>
  <si>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</si>
  <si>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</si>
  <si>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</si>
  <si>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</si>
  <si>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</si>
  <si>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</si>
  <si>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</si>
  <si>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</si>
  <si>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</si>
  <si>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</si>
  <si>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</si>
  <si>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</si>
  <si>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</si>
  <si>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</si>
  <si>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</si>
  <si>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</si>
  <si>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</si>
  <si>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</si>
  <si>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</si>
  <si>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</si>
  <si>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</si>
  <si>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</si>
  <si>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</si>
  <si>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</si>
  <si>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</si>
  <si>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</si>
  <si>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</si>
  <si>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</si>
  <si>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</si>
  <si>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</si>
  <si>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</si>
  <si>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</si>
  <si>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</si>
  <si>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</si>
  <si>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</si>
  <si>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</si>
  <si>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</si>
  <si>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</si>
  <si>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</si>
  <si>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</si>
  <si>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</si>
  <si>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</si>
  <si>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</si>
  <si>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</si>
  <si>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</si>
  <si>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</si>
  <si>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</si>
  <si>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</si>
  <si>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</si>
  <si>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</si>
  <si>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</si>
  <si>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</si>
  <si>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</si>
  <si>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</si>
  <si>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</si>
  <si>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</si>
  <si>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</si>
  <si>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</si>
  <si>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</si>
  <si>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</si>
  <si>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</si>
  <si>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</si>
  <si>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</si>
  <si>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</si>
  <si>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</si>
  <si>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</si>
  <si>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</si>
  <si>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</si>
  <si>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</si>
  <si>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</si>
  <si>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</si>
  <si>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</si>
  <si>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</si>
  <si>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</si>
  <si>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</si>
  <si>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</si>
  <si>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</si>
  <si>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</si>
  <si>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</si>
  <si>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</si>
  <si>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</si>
  <si>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</si>
  <si>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</si>
  <si>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</si>
  <si>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</si>
  <si>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</si>
  <si>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</si>
  <si>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</si>
  <si>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</si>
  <si>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</si>
  <si>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</si>
  <si>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</si>
  <si>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</si>
  <si>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</si>
  <si>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</si>
  <si>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</si>
  <si>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</si>
  <si>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</si>
  <si>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</si>
  <si>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</si>
  <si>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</si>
  <si>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</si>
  <si>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</si>
  <si>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</si>
  <si>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</si>
  <si>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</si>
  <si>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</si>
  <si>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</si>
  <si>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</si>
  <si>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</si>
  <si>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</si>
  <si>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</si>
  <si>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</si>
  <si>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</si>
  <si>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</si>
  <si>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</si>
  <si>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</si>
  <si>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</si>
  <si>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</si>
  <si>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</si>
  <si>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</si>
  <si>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</si>
  <si>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</si>
  <si>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</si>
  <si>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</si>
  <si>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</si>
  <si>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</si>
  <si>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</si>
  <si>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</si>
  <si>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</si>
  <si>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</si>
  <si>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</si>
  <si>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</si>
  <si>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</si>
  <si>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</si>
  <si>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</si>
  <si>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</si>
  <si>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</si>
  <si>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</si>
  <si>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</si>
  <si>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</si>
  <si>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</si>
  <si>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</si>
  <si>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</si>
  <si>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</si>
  <si>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</si>
  <si>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</si>
  <si>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</si>
  <si>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</si>
  <si>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</si>
  <si>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</si>
  <si>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</si>
  <si>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</si>
  <si>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</si>
  <si>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</si>
  <si>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</si>
  <si>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</si>
  <si>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</si>
  <si>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</si>
  <si>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</si>
  <si>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</si>
  <si>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</si>
  <si>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</si>
  <si>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</si>
  <si>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</si>
  <si>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</si>
  <si>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</si>
  <si>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</si>
  <si>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</si>
  <si>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</si>
  <si>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</si>
  <si>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</si>
  <si>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</si>
  <si>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</si>
  <si>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</si>
  <si>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</si>
  <si>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</si>
  <si>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</si>
  <si>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</si>
  <si>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</si>
  <si>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</si>
  <si>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</si>
  <si>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</si>
  <si>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</si>
  <si>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</si>
  <si>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</si>
  <si>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</si>
  <si>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</si>
  <si>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</si>
  <si>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</si>
  <si>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</si>
  <si>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</si>
  <si>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</si>
  <si>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</si>
  <si>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</si>
  <si>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</si>
  <si>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</si>
  <si>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</si>
  <si>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</si>
  <si>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</si>
  <si>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</si>
  <si>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</si>
  <si>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</si>
  <si>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</si>
  <si>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</si>
  <si>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</si>
  <si>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</si>
  <si>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</si>
  <si>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</si>
  <si>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</si>
  <si>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</si>
  <si>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</si>
  <si>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</si>
  <si>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</si>
  <si>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</si>
  <si>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</si>
  <si>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</si>
  <si>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</si>
  <si>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</si>
  <si>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</si>
  <si>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</si>
  <si>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</si>
  <si>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</si>
  <si>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</si>
  <si>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</si>
  <si>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</si>
  <si>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</si>
  <si>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</si>
  <si>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</si>
  <si>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</si>
  <si>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</si>
  <si>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</si>
  <si>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</si>
  <si>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</si>
  <si>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</si>
  <si>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</si>
  <si>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</si>
  <si>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</si>
  <si>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</si>
  <si>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</si>
  <si>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</si>
  <si>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</si>
  <si>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</si>
  <si>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</si>
  <si>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</si>
  <si>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</si>
  <si>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</si>
  <si>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</si>
  <si>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</si>
  <si>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</si>
  <si>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</si>
  <si>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</si>
  <si>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</si>
  <si>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</si>
  <si>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</si>
  <si>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</si>
  <si>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</si>
  <si>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</si>
  <si>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</si>
  <si>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</si>
  <si>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</si>
  <si>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</si>
  <si>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</si>
  <si>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</si>
  <si>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</si>
  <si>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</si>
  <si>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</si>
  <si>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</si>
  <si>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</si>
  <si>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</si>
  <si>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</si>
  <si>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</si>
  <si>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</si>
  <si>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</si>
  <si>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</si>
  <si>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</si>
  <si>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</si>
  <si>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</si>
  <si>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</si>
  <si>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</si>
  <si>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</si>
  <si>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</si>
  <si>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</si>
  <si>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</si>
  <si>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</si>
  <si>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</si>
  <si>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</si>
  <si>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</si>
  <si>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</si>
  <si>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</si>
  <si>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</si>
  <si>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</si>
  <si>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</si>
  <si>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</si>
  <si>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</si>
  <si>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</si>
  <si>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</si>
  <si>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</si>
  <si>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</si>
  <si>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</si>
  <si>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</si>
  <si>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</si>
  <si>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</si>
  <si>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</si>
  <si>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</si>
  <si>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</si>
  <si>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</si>
  <si>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</si>
  <si>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</si>
  <si>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</si>
  <si>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</si>
  <si>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</si>
  <si>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</si>
  <si>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</si>
  <si>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</si>
  <si>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</si>
  <si>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</si>
  <si>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</si>
  <si>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</si>
  <si>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</si>
  <si>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</si>
  <si>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</si>
  <si>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</si>
  <si>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</si>
  <si>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</si>
  <si>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</si>
  <si>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</si>
  <si>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</si>
  <si>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</si>
  <si>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</si>
  <si>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</si>
  <si>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</si>
  <si>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</si>
  <si>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</si>
  <si>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</si>
  <si>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</si>
  <si>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</si>
  <si>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</si>
  <si>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</si>
  <si>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</si>
  <si>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</si>
  <si>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</si>
  <si>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</si>
  <si>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</si>
  <si>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</si>
  <si>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</si>
  <si>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</si>
  <si>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</si>
  <si>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</si>
  <si>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</si>
  <si>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</si>
  <si>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</si>
  <si>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</si>
  <si>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</si>
  <si>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</si>
  <si>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</si>
  <si>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</si>
  <si>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</si>
  <si>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</si>
  <si>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</si>
  <si>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</si>
  <si>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</si>
  <si>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</si>
  <si>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</si>
  <si>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</si>
  <si>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</si>
  <si>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</si>
  <si>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</si>
  <si>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</si>
  <si>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</si>
  <si>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</si>
  <si>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</si>
  <si>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</si>
  <si>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</si>
  <si>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</si>
  <si>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</si>
  <si>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</si>
  <si>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</si>
  <si>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</si>
  <si>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</si>
  <si>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</si>
  <si>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</si>
  <si>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</si>
  <si>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</si>
  <si>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</si>
  <si>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</si>
  <si>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</si>
  <si>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</si>
  <si>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</si>
  <si>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</si>
  <si>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</si>
  <si>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</si>
  <si>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</si>
  <si>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</si>
  <si>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</si>
  <si>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</si>
  <si>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</si>
  <si>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</si>
  <si>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</si>
  <si>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</si>
  <si>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</si>
  <si>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</si>
  <si>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</si>
  <si>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</si>
  <si>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</si>
  <si>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</si>
  <si>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</si>
  <si>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</si>
  <si>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</si>
  <si>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</si>
  <si>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</si>
  <si>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</si>
  <si>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</si>
  <si>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</si>
  <si>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</si>
  <si>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</si>
  <si>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</si>
  <si>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</si>
  <si>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</si>
  <si>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</si>
  <si>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</si>
  <si>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</si>
  <si>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</si>
  <si>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</si>
  <si>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</si>
  <si>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</si>
  <si>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</si>
  <si>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</si>
  <si>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</si>
  <si>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</si>
  <si>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</si>
  <si>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</si>
  <si>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</si>
  <si>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</si>
  <si>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</si>
  <si>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</si>
  <si>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</si>
  <si>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</si>
  <si>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</si>
  <si>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</si>
  <si>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</si>
  <si>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</si>
  <si>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</si>
  <si>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</si>
  <si>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</si>
  <si>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</si>
  <si>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</si>
  <si>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</si>
  <si>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</si>
  <si>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</si>
  <si>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</si>
  <si>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</si>
  <si>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</si>
  <si>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</si>
  <si>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</si>
  <si>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</si>
  <si>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</si>
  <si>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</si>
  <si>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</si>
  <si>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</si>
  <si>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</si>
  <si>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</si>
  <si>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</si>
  <si>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</si>
  <si>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</si>
  <si>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</si>
  <si>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</si>
  <si>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</si>
  <si>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</si>
  <si>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</si>
  <si>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</si>
  <si>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</si>
  <si>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</si>
  <si>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</si>
  <si>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</si>
  <si>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</si>
  <si>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</si>
  <si>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</si>
  <si>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</si>
  <si>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</si>
  <si>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</si>
  <si>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</si>
  <si>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</si>
  <si>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</si>
  <si>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</si>
  <si>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</si>
  <si>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</si>
  <si>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</si>
  <si>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</si>
  <si>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</si>
  <si>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</si>
  <si>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</si>
  <si>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</si>
  <si>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</si>
  <si>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</si>
  <si>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</si>
  <si>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</si>
  <si>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</si>
  <si>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</si>
  <si>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</si>
  <si>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</si>
  <si>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</si>
  <si>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</si>
  <si>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</si>
  <si>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</si>
  <si>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</si>
  <si>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</si>
  <si>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</si>
  <si>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</si>
  <si>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</si>
  <si>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</si>
  <si>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</si>
  <si>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</si>
  <si>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</si>
  <si>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</si>
  <si>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</si>
  <si>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</si>
  <si>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</si>
  <si>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</si>
  <si>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</si>
  <si>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</si>
  <si>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</si>
  <si>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</si>
  <si>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</si>
  <si>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</si>
  <si>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</si>
  <si>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</si>
  <si>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</si>
  <si>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</si>
  <si>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</si>
  <si>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</si>
  <si>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</si>
  <si>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</si>
  <si>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</si>
  <si>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</si>
  <si>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</si>
  <si>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</si>
  <si>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</si>
  <si>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</si>
  <si>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</si>
  <si>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</si>
  <si>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</si>
  <si>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</si>
  <si>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</si>
  <si>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</si>
  <si>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</si>
  <si>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</si>
  <si>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</si>
  <si>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</si>
  <si>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</si>
  <si>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</si>
  <si>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</si>
  <si>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</si>
  <si>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</si>
  <si>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</si>
  <si>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</si>
  <si>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</si>
  <si>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</si>
  <si>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</si>
  <si>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</si>
  <si>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</si>
  <si>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</si>
  <si>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</si>
  <si>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</si>
  <si>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</si>
  <si>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</si>
  <si>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</si>
  <si>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</si>
  <si>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</si>
  <si>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</si>
  <si>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</si>
  <si>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</si>
  <si>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</si>
  <si>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</si>
  <si>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</si>
  <si>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</si>
  <si>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</si>
  <si>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</si>
  <si>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</si>
  <si>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</si>
  <si>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</si>
  <si>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</si>
  <si>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</si>
  <si>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</si>
  <si>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</si>
  <si>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</si>
  <si>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</si>
  <si>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</si>
  <si>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</si>
  <si>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</si>
  <si>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</si>
  <si>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</si>
  <si>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</si>
  <si>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</si>
  <si>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</si>
  <si>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</si>
  <si>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</si>
  <si>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</si>
  <si>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</si>
  <si>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</si>
  <si>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</si>
  <si>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</si>
  <si>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</si>
  <si>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</si>
  <si>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</si>
  <si>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</si>
  <si>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</si>
  <si>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</si>
  <si>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</si>
  <si>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</si>
  <si>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</si>
  <si>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</si>
  <si>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</si>
  <si>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</si>
  <si>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</si>
  <si>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</si>
  <si>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</si>
  <si>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</si>
  <si>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</si>
  <si>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</si>
  <si>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</si>
  <si>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</si>
  <si>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</si>
  <si>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</si>
  <si>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</si>
  <si>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</si>
  <si>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</si>
  <si>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</si>
  <si>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</si>
  <si>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</si>
  <si>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</si>
  <si>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</si>
  <si>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</si>
  <si>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</si>
  <si>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</si>
  <si>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</si>
  <si>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</si>
  <si>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</si>
  <si>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</si>
  <si>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</si>
  <si>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</si>
  <si>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</si>
  <si>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</si>
  <si>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</si>
  <si>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</si>
  <si>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</si>
  <si>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</si>
  <si>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</si>
  <si>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</si>
  <si>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</si>
  <si>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</si>
  <si>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</si>
  <si>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</si>
  <si>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</si>
  <si>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</si>
  <si>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</si>
  <si>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</si>
  <si>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</si>
  <si>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</si>
  <si>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</si>
  <si>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</si>
  <si>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</si>
  <si>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</si>
  <si>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</si>
  <si>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</si>
  <si>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</si>
  <si>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</si>
  <si>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</si>
  <si>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</si>
  <si>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</si>
  <si>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</si>
  <si>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</si>
  <si>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</si>
  <si>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</si>
  <si>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</si>
  <si>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</si>
  <si>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</si>
  <si>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</si>
  <si>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</si>
  <si>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</si>
  <si>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</si>
  <si>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</si>
  <si>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</si>
  <si>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</si>
  <si>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</si>
  <si>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</si>
  <si>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</si>
  <si>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</si>
  <si>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</si>
  <si>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</si>
  <si>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</si>
  <si>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</si>
  <si>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</si>
  <si>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</si>
  <si>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</si>
  <si>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</si>
  <si>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</si>
  <si>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</si>
  <si>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</si>
  <si>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</si>
  <si>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</si>
  <si>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</si>
  <si>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</si>
  <si>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</si>
  <si>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</si>
  <si>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</si>
  <si>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</si>
  <si>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</si>
  <si>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</si>
  <si>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</si>
  <si>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</si>
  <si>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</si>
  <si>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</si>
  <si>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</si>
  <si>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</si>
  <si>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</si>
  <si>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</si>
  <si>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</si>
  <si>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</si>
  <si>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</si>
  <si>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</si>
  <si>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</si>
  <si>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</si>
  <si>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</si>
  <si>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</si>
  <si>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</si>
  <si>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</si>
  <si>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</si>
  <si>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</si>
  <si>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</si>
  <si>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</si>
  <si>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</si>
  <si>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</si>
  <si>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</si>
  <si>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</si>
  <si>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</si>
  <si>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</si>
  <si>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</si>
  <si>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</si>
  <si>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</si>
  <si>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</si>
  <si>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</si>
  <si>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</si>
  <si>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</si>
  <si>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</si>
  <si>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</si>
  <si>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</si>
  <si>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</si>
  <si>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</si>
  <si>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</si>
  <si>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</si>
  <si>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</si>
  <si>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</si>
  <si>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</si>
  <si>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</si>
  <si>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</si>
  <si>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</si>
  <si>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</si>
  <si>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</si>
  <si>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</si>
  <si>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</si>
  <si>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</si>
  <si>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</si>
  <si>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</si>
  <si>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</si>
  <si>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</si>
  <si>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</si>
  <si>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</si>
  <si>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</si>
  <si>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</si>
  <si>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</si>
  <si>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</si>
  <si>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</si>
  <si>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</si>
  <si>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</si>
  <si>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</si>
  <si>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</si>
  <si>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</si>
  <si>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</si>
  <si>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</si>
  <si>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</si>
  <si>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</si>
  <si>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</si>
  <si>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</si>
  <si>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</si>
  <si>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</si>
  <si>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</si>
  <si>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</si>
  <si>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</si>
  <si>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</si>
  <si>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</si>
  <si>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</si>
  <si>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</si>
  <si>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</si>
  <si>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</si>
  <si>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</si>
  <si>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</si>
  <si>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</si>
  <si>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</si>
  <si>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</si>
  <si>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</si>
  <si>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</si>
  <si>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</si>
  <si>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</si>
  <si>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</si>
  <si>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</si>
  <si>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</si>
  <si>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</si>
  <si>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</si>
  <si>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</si>
  <si>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</si>
  <si>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</si>
  <si>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</si>
  <si>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</si>
  <si>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</si>
  <si>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</si>
  <si>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</si>
  <si>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</si>
  <si>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</si>
  <si>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</si>
  <si>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</si>
  <si>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</si>
  <si>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</si>
  <si>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</si>
  <si>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</si>
  <si>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</si>
  <si>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</si>
  <si>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</si>
  <si>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</si>
  <si>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</si>
  <si>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</si>
  <si>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</si>
  <si>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</si>
  <si>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</si>
  <si>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</si>
  <si>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</si>
  <si>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</si>
  <si>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</si>
  <si>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</si>
  <si>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</si>
  <si>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</si>
  <si>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</si>
  <si>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</si>
  <si>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</si>
  <si>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</si>
  <si>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</si>
  <si>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</si>
  <si>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</si>
  <si>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</si>
  <si>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</si>
  <si>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</si>
  <si>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</si>
  <si>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</si>
  <si>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</si>
  <si>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</si>
  <si>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</si>
  <si>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</si>
  <si>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</si>
  <si>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</si>
  <si>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</si>
  <si>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</si>
  <si>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</si>
  <si>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</si>
  <si>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</si>
  <si>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</si>
  <si>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</si>
  <si>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</si>
  <si>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</si>
  <si>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</si>
  <si>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</si>
  <si>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</si>
  <si>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</si>
  <si>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</si>
  <si>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</si>
  <si>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</si>
  <si>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</si>
  <si>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</si>
  <si>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</si>
  <si>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</si>
  <si>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</si>
  <si>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</si>
  <si>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</si>
  <si>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</si>
  <si>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</si>
  <si>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</si>
  <si>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</si>
  <si>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</si>
  <si>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</si>
  <si>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</si>
  <si>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</si>
  <si>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</si>
  <si>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</si>
  <si>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</si>
  <si>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</si>
  <si>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</si>
  <si>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</si>
  <si>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</si>
  <si>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</si>
  <si>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</si>
  <si>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</si>
  <si>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</si>
  <si>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</si>
  <si>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</si>
  <si>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</si>
  <si>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</si>
  <si>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</si>
  <si>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</si>
  <si>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</si>
  <si>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</si>
  <si>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</si>
  <si>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</si>
  <si>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</si>
  <si>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</si>
  <si>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</si>
  <si>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</si>
  <si>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</si>
  <si>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</si>
  <si>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</si>
  <si>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</si>
  <si>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</si>
  <si>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</si>
  <si>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</si>
  <si>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</si>
  <si>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</si>
  <si>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</si>
  <si>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</si>
  <si>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</si>
  <si>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</si>
  <si>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</si>
  <si>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</si>
  <si>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</si>
  <si>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</si>
  <si>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</si>
  <si>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</si>
  <si>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</si>
  <si>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</si>
  <si>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</si>
  <si>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</si>
  <si>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</si>
  <si>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</si>
  <si>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</si>
  <si>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</si>
  <si>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</si>
  <si>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</si>
  <si>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</si>
  <si>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</si>
  <si>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</si>
  <si>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</si>
  <si>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</si>
  <si>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</si>
  <si>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</si>
  <si>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</si>
  <si>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</si>
  <si>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</si>
  <si>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</si>
  <si>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</si>
  <si>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</si>
  <si>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</si>
  <si>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</si>
  <si>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</si>
  <si>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</si>
  <si>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</si>
  <si>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</si>
  <si>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</si>
  <si>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</si>
  <si>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</si>
  <si>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</si>
  <si>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</si>
  <si>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</si>
  <si>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</si>
  <si>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</si>
  <si>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</si>
  <si>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</si>
  <si>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</si>
  <si>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</si>
  <si>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</si>
  <si>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</si>
  <si>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</si>
  <si>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</si>
  <si>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</si>
  <si>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</si>
  <si>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</si>
  <si>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</si>
  <si>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</si>
  <si>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</si>
  <si>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</si>
  <si>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</si>
  <si>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</si>
  <si>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</si>
  <si>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</si>
  <si>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</si>
  <si>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</si>
  <si>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</si>
  <si>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</si>
  <si>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</si>
  <si>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</si>
  <si>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</si>
  <si>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</si>
  <si>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</si>
  <si>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</si>
  <si>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</si>
  <si>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</si>
  <si>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</si>
  <si>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</si>
  <si>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</si>
  <si>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</si>
  <si>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</si>
  <si>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</si>
  <si>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</si>
  <si>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</si>
  <si>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</si>
  <si>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</si>
  <si>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</si>
  <si>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</si>
  <si>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</si>
  <si>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</si>
  <si>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</si>
  <si>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</si>
  <si>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</si>
  <si>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</si>
  <si>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</si>
  <si>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</si>
  <si>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</si>
  <si>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</si>
  <si>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</si>
  <si>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</si>
  <si>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</si>
  <si>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</si>
  <si>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</si>
  <si>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</si>
  <si>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</si>
  <si>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</si>
  <si>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</si>
  <si>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</si>
  <si>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</si>
  <si>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</si>
  <si>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</si>
  <si>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</si>
  <si>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</si>
  <si>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</si>
  <si>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</si>
  <si>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</si>
  <si>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</si>
  <si>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</si>
  <si>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</si>
  <si>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</si>
  <si>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</si>
  <si>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</si>
  <si>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</si>
  <si>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</si>
  <si>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</si>
  <si>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</si>
  <si>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</si>
  <si>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</si>
  <si>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</si>
  <si>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</si>
  <si>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</si>
  <si>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</si>
  <si>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</si>
  <si>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</si>
  <si>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</si>
  <si>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</si>
  <si>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</si>
  <si>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</si>
  <si>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</si>
  <si>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</si>
  <si>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</si>
  <si>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</si>
  <si>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</si>
  <si>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</si>
  <si>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</si>
  <si>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</si>
  <si>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</si>
  <si>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</si>
  <si>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</si>
  <si>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</si>
  <si>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</si>
  <si>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</si>
  <si>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</si>
  <si>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</si>
  <si>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</si>
  <si>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</si>
  <si>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</si>
  <si>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</si>
  <si>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</si>
  <si>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</si>
  <si>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</si>
  <si>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</si>
  <si>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</si>
  <si>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</si>
  <si>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</si>
  <si>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</si>
  <si>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</si>
  <si>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</si>
  <si>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</si>
  <si>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</si>
  <si>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</si>
  <si>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</si>
  <si>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</si>
  <si>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</si>
  <si>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</si>
  <si>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</si>
  <si>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</si>
  <si>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</si>
  <si>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</si>
  <si>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</si>
  <si>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</si>
  <si>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</si>
  <si>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</si>
  <si>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</si>
  <si>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</si>
  <si>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</si>
  <si>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</si>
  <si>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</si>
  <si>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</si>
  <si>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</si>
  <si>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</si>
  <si>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</si>
  <si>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</si>
  <si>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</si>
  <si>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</si>
  <si>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</si>
  <si>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</si>
  <si>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</si>
  <si>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</si>
  <si>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</si>
  <si>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</si>
  <si>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</si>
  <si>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</si>
  <si>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</si>
  <si>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</si>
  <si>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</si>
  <si>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</si>
  <si>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</si>
  <si>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</si>
  <si>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</si>
  <si>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</si>
  <si>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</si>
  <si>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</si>
  <si>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</si>
  <si>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</si>
  <si>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</si>
  <si>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</si>
  <si>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</si>
  <si>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</si>
  <si>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</si>
  <si>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</si>
  <si>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</si>
  <si>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</si>
  <si>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</si>
  <si>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</si>
  <si>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</si>
  <si>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</si>
  <si>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</si>
  <si>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</si>
  <si>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</si>
  <si>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</si>
  <si>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</si>
  <si>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</si>
  <si>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</si>
  <si>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</si>
  <si>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</si>
  <si>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</si>
  <si>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</si>
  <si>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</si>
  <si>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</si>
  <si>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</si>
  <si>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</si>
  <si>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</si>
  <si>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</si>
  <si>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</si>
  <si>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</si>
  <si>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</si>
  <si>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</si>
  <si>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</si>
  <si>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</si>
  <si>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</si>
  <si>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</si>
  <si>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</si>
  <si>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</si>
  <si>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</si>
  <si>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</si>
  <si>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</si>
  <si>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</si>
  <si>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</si>
  <si>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</si>
  <si>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</si>
  <si>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</si>
  <si>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</si>
  <si>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</si>
  <si>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</si>
  <si>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</si>
  <si>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</si>
  <si>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</si>
  <si>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</si>
  <si>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</si>
  <si>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</si>
  <si>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</si>
  <si>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</si>
  <si>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</si>
  <si>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</si>
  <si>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</si>
  <si>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</si>
  <si>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</si>
  <si>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</si>
  <si>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</si>
  <si>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</si>
  <si>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</si>
  <si>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</si>
  <si>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</si>
  <si>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</si>
  <si>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</si>
  <si>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</si>
  <si>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</si>
  <si>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</si>
  <si>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</si>
  <si>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</si>
  <si>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</si>
  <si>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</si>
  <si>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</si>
  <si>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</si>
  <si>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</si>
  <si>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</si>
  <si>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</si>
  <si>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</si>
  <si>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</si>
  <si>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</si>
  <si>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</si>
  <si>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</si>
  <si>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</si>
  <si>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</si>
  <si>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</si>
  <si>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</si>
  <si>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</si>
  <si>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</si>
  <si>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</si>
  <si>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</si>
  <si>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</si>
  <si>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</si>
  <si>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</si>
  <si>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</si>
  <si>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</si>
  <si>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</si>
  <si>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</si>
  <si>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</si>
  <si>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</si>
  <si>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</si>
  <si>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</si>
  <si>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</si>
  <si>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</si>
  <si>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</si>
  <si>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</si>
  <si>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</si>
  <si>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</si>
  <si>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</si>
  <si>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</si>
  <si>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</si>
  <si>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</si>
  <si>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</si>
  <si>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</si>
  <si>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</si>
  <si>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</si>
  <si>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</si>
  <si>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</si>
  <si>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</si>
  <si>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</si>
  <si>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</si>
  <si>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</si>
  <si>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</si>
  <si>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</si>
  <si>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</si>
  <si>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</si>
  <si>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</si>
  <si>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</si>
  <si>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</si>
  <si>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</si>
  <si>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</si>
  <si>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</si>
  <si>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</si>
  <si>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</si>
  <si>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</si>
  <si>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</si>
  <si>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</si>
  <si>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</si>
  <si>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</si>
  <si>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</si>
  <si>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</si>
  <si>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</si>
  <si>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</si>
  <si>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</si>
  <si>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</si>
  <si>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</si>
  <si>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</si>
  <si>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</si>
  <si>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</si>
  <si>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</si>
  <si>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</si>
  <si>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</si>
  <si>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</si>
  <si>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</si>
  <si>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</si>
  <si>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</si>
  <si>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</si>
  <si>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</si>
  <si>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</si>
  <si>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</si>
  <si>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</si>
  <si>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</si>
  <si>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</si>
  <si>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</si>
  <si>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</si>
  <si>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</si>
  <si>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</si>
  <si>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</si>
  <si>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</si>
  <si>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</si>
  <si>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</si>
  <si>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</si>
  <si>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</si>
  <si>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</si>
  <si>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</si>
  <si>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</si>
  <si>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</si>
  <si>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</si>
  <si>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</si>
  <si>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</si>
  <si>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</si>
  <si>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</si>
  <si>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</si>
  <si>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</si>
  <si>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</si>
  <si>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</si>
  <si>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</si>
  <si>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</si>
  <si>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</si>
  <si>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</si>
  <si>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</si>
  <si>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</si>
  <si>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</si>
  <si>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</si>
  <si>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</si>
  <si>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</si>
  <si>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</si>
  <si>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</si>
  <si>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</si>
  <si>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</si>
  <si>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</si>
  <si>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</si>
  <si>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</si>
  <si>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</si>
  <si>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</si>
  <si>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</si>
  <si>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</si>
  <si>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</si>
  <si>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</si>
  <si>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</si>
  <si>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</si>
  <si>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</si>
  <si>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</si>
  <si>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</si>
  <si>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</si>
  <si>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</si>
  <si>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</si>
  <si>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</si>
  <si>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</si>
  <si>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</si>
  <si>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</si>
  <si>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</si>
  <si>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</si>
  <si>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</si>
  <si>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</si>
  <si>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</si>
  <si>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</si>
  <si>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</si>
  <si>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</si>
  <si>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</si>
  <si>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</si>
  <si>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</si>
  <si>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</si>
  <si>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</si>
  <si>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</si>
  <si>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</si>
  <si>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</si>
  <si>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</si>
  <si>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</si>
  <si>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</si>
  <si>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</si>
  <si>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</si>
  <si>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</si>
  <si>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</si>
  <si>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</si>
  <si>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</si>
  <si>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</si>
  <si>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</si>
  <si>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</si>
  <si>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</si>
  <si>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</si>
  <si>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</si>
  <si>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</si>
  <si>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</si>
  <si>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</si>
  <si>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</si>
  <si>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</si>
  <si>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</si>
  <si>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</si>
  <si>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</si>
  <si>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</si>
  <si>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</si>
  <si>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</si>
  <si>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</si>
  <si>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</si>
  <si>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</si>
  <si>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</si>
  <si>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</si>
  <si>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</si>
  <si>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</si>
  <si>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</si>
  <si>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</si>
  <si>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</si>
  <si>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</si>
  <si>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</si>
  <si>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</si>
  <si>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</si>
  <si>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</si>
  <si>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</si>
  <si>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</si>
  <si>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</si>
  <si>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</si>
  <si>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</si>
  <si>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</si>
  <si>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</si>
  <si>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</si>
  <si>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</si>
  <si>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</si>
  <si>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</si>
  <si>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</si>
  <si>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</si>
  <si>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</si>
  <si>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</si>
  <si>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</si>
  <si>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</si>
  <si>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</si>
  <si>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</si>
  <si>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</si>
  <si>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</si>
  <si>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</si>
  <si>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</si>
  <si>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</si>
  <si>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</si>
  <si>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</si>
  <si>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</si>
  <si>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</si>
  <si>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</si>
  <si>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</si>
  <si>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</si>
  <si>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</si>
  <si>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</si>
  <si>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</si>
  <si>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</si>
  <si>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</si>
  <si>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</si>
  <si>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</si>
  <si>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</si>
  <si>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</si>
  <si>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</si>
  <si>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</si>
  <si>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</si>
  <si>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</si>
  <si>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</si>
  <si>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</si>
  <si>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</si>
  <si>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</si>
  <si>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</si>
  <si>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</si>
  <si>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</si>
  <si>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</si>
  <si>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</si>
  <si>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</si>
  <si>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</si>
  <si>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</si>
  <si>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</si>
  <si>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</si>
  <si>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</si>
  <si>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</si>
  <si>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</si>
  <si>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</si>
  <si>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</si>
  <si>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</si>
  <si>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</si>
  <si>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</si>
  <si>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</si>
  <si>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</si>
  <si>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</si>
  <si>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</si>
  <si>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</si>
  <si>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</si>
  <si>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</si>
  <si>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</si>
  <si>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</si>
  <si>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</si>
  <si>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</si>
  <si>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</si>
  <si>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</si>
  <si>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</si>
  <si>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</si>
  <si>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</si>
  <si>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</si>
  <si>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</si>
  <si>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</si>
  <si>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</si>
  <si>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</si>
  <si>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</si>
  <si>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</si>
  <si>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</si>
  <si>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</si>
  <si>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</si>
  <si>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</si>
  <si>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</si>
  <si>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</si>
  <si>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</si>
  <si>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</si>
  <si>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</si>
  <si>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</si>
  <si>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</si>
  <si>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</si>
  <si>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</si>
  <si>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</si>
  <si>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</si>
  <si>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</si>
  <si>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</si>
  <si>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</si>
  <si>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</si>
  <si>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</si>
  <si>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</si>
  <si>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</si>
  <si>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</si>
  <si>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</si>
  <si>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</si>
  <si>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</si>
  <si>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</si>
  <si>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</si>
  <si>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</si>
  <si>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</si>
  <si>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</si>
  <si>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</si>
  <si>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</si>
  <si>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</si>
  <si>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</si>
  <si>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</si>
  <si>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</si>
  <si>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</si>
  <si>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</si>
  <si>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</si>
  <si>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</si>
  <si>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</si>
  <si>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</si>
  <si>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</si>
  <si>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</si>
  <si>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</si>
  <si>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</si>
  <si>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</si>
  <si>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</si>
  <si>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</si>
  <si>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</si>
  <si>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</si>
  <si>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</si>
  <si>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</si>
  <si>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</si>
  <si>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</si>
  <si>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</si>
  <si>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</si>
  <si>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</si>
  <si>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</si>
  <si>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</si>
  <si>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</si>
  <si>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</si>
  <si>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</si>
  <si>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</si>
  <si>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</si>
  <si>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</si>
  <si>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</si>
  <si>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</si>
  <si>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</si>
  <si>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</si>
  <si>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</si>
  <si>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</si>
  <si>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</si>
  <si>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</si>
  <si>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</si>
  <si>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</si>
  <si>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</si>
  <si>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</si>
  <si>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</si>
  <si>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</si>
  <si>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</si>
  <si>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</si>
  <si>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</si>
  <si>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</si>
  <si>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</si>
  <si>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</si>
  <si>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</si>
  <si>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</si>
  <si>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</si>
  <si>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</si>
  <si>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</si>
  <si>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</si>
  <si>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</si>
  <si>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</si>
  <si>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</si>
  <si>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</si>
  <si>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</si>
  <si>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</si>
  <si>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</si>
  <si>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</si>
  <si>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</si>
  <si>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</si>
  <si>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</si>
  <si>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</si>
  <si>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</si>
  <si>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</si>
  <si>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</si>
  <si>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</si>
  <si>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</si>
  <si>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</si>
  <si>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</si>
  <si>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</si>
  <si>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</si>
  <si>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</si>
  <si>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</si>
  <si>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</si>
  <si>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</si>
  <si>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</si>
  <si>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</si>
  <si>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</si>
  <si>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</si>
  <si>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</si>
  <si>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</si>
  <si>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</si>
  <si>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</si>
  <si>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</si>
  <si>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</si>
  <si>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</si>
  <si>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</si>
  <si>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</si>
  <si>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</si>
  <si>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</si>
  <si>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</si>
  <si>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</si>
  <si>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</si>
  <si>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</si>
  <si>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</si>
  <si>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</si>
  <si>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</si>
  <si>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</si>
  <si>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</si>
  <si>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</si>
  <si>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</si>
  <si>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</si>
  <si>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</si>
  <si>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</si>
  <si>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</si>
  <si>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</si>
  <si>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</si>
  <si>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</si>
  <si>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</si>
  <si>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</si>
  <si>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</si>
  <si>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</si>
  <si>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</si>
  <si>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</si>
  <si>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</si>
  <si>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</si>
  <si>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</si>
  <si>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</si>
  <si>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</si>
  <si>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</si>
  <si>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</si>
  <si>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</si>
  <si>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</si>
  <si>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</si>
  <si>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</si>
  <si>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</si>
  <si>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</si>
  <si>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</si>
  <si>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</si>
  <si>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</si>
  <si>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</si>
  <si>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</si>
  <si>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</si>
  <si>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</si>
  <si>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</si>
  <si>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</si>
  <si>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</si>
  <si>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</si>
  <si>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</si>
  <si>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</si>
  <si>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</si>
  <si>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</si>
  <si>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</si>
  <si>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</si>
  <si>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</si>
  <si>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</si>
  <si>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</si>
  <si>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</si>
  <si>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</si>
  <si>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</si>
  <si>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</si>
  <si>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</si>
  <si>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</si>
  <si>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</si>
  <si>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</si>
  <si>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</si>
  <si>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</si>
  <si>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</si>
  <si>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</si>
  <si>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</si>
  <si>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</si>
  <si>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</si>
  <si>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</si>
  <si>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</si>
  <si>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</si>
  <si>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</si>
  <si>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</si>
  <si>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</si>
  <si>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</si>
  <si>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</si>
  <si>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</si>
  <si>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</si>
  <si>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</si>
  <si>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</si>
  <si>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</si>
  <si>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</si>
  <si>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</si>
  <si>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</si>
  <si>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</si>
  <si>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</si>
  <si>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</si>
  <si>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</si>
  <si>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</si>
  <si>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</si>
  <si>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</si>
  <si>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</si>
  <si>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</si>
  <si>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</si>
  <si>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</si>
  <si>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</si>
  <si>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</si>
  <si>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</si>
  <si>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</si>
  <si>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</si>
  <si>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</si>
  <si>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</si>
  <si>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</si>
  <si>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</si>
  <si>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</si>
  <si>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</si>
  <si>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</si>
  <si>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</si>
  <si>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</si>
  <si>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</si>
  <si>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</si>
  <si>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</si>
  <si>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</si>
  <si>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</si>
  <si>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</si>
  <si>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</si>
  <si>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</si>
  <si>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</si>
  <si>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</si>
  <si>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</si>
  <si>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</si>
  <si>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</si>
  <si>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</si>
  <si>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</si>
  <si>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</si>
  <si>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</si>
  <si>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</si>
  <si>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</si>
  <si>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</si>
  <si>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</si>
  <si>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</si>
  <si>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</si>
  <si>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</si>
  <si>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</si>
  <si>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</si>
  <si>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</si>
  <si>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</si>
  <si>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</si>
  <si>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</si>
  <si>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</si>
  <si>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</si>
  <si>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</si>
  <si>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</si>
  <si>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</si>
  <si>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</si>
  <si>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</si>
  <si>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</si>
  <si>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</si>
  <si>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</si>
  <si>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</si>
  <si>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</si>
  <si>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</si>
  <si>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</si>
  <si>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</si>
  <si>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</si>
  <si>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</si>
  <si>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</si>
  <si>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</si>
  <si>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</si>
  <si>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</si>
  <si>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</si>
  <si>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</si>
  <si>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</si>
  <si>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</si>
  <si>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</si>
  <si>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</si>
  <si>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</si>
  <si>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</si>
  <si>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</si>
  <si>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</si>
  <si>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</si>
  <si>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</si>
  <si>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</si>
  <si>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</si>
  <si>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</si>
  <si>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</si>
  <si>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</si>
  <si>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</si>
  <si>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</si>
  <si>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</si>
  <si>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</si>
  <si>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</si>
  <si>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</si>
  <si>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</si>
  <si>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</si>
  <si>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</si>
  <si>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</si>
  <si>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</si>
  <si>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</si>
  <si>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</si>
  <si>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</si>
  <si>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</si>
  <si>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</si>
  <si>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</si>
  <si>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</si>
  <si>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</si>
  <si>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</si>
  <si>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</si>
  <si>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</si>
  <si>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</si>
  <si>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</si>
  <si>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</si>
  <si>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</si>
  <si>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</si>
  <si>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</si>
  <si>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</si>
  <si>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</si>
  <si>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</si>
  <si>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</si>
  <si>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</si>
  <si>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</si>
  <si>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</si>
  <si>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</si>
  <si>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</si>
  <si>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</si>
  <si>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</si>
  <si>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</si>
  <si>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</si>
  <si>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</si>
  <si>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</si>
  <si>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</si>
  <si>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</si>
  <si>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</si>
  <si>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</si>
  <si>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</si>
  <si>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</si>
  <si>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</si>
  <si>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</si>
  <si>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</si>
  <si>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</si>
  <si>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</si>
  <si>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</si>
  <si>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</si>
  <si>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</si>
  <si>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</si>
  <si>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</si>
  <si>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</si>
  <si>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</si>
  <si>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</si>
  <si>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</si>
  <si>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</si>
  <si>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</si>
  <si>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</si>
  <si>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</si>
  <si>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</si>
  <si>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</si>
  <si>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</si>
  <si>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</si>
  <si>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</si>
  <si>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</si>
  <si>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</si>
  <si>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</si>
  <si>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</si>
  <si>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</si>
  <si>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</si>
  <si>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</si>
  <si>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</si>
  <si>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</si>
  <si>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</si>
  <si>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</si>
  <si>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</si>
  <si>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</si>
  <si>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</si>
  <si>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</si>
  <si>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</si>
  <si>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</si>
  <si>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</si>
  <si>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</si>
  <si>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</si>
  <si>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</si>
  <si>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</si>
  <si>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</si>
  <si>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</si>
  <si>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</si>
  <si>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</si>
  <si>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</si>
  <si>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</si>
  <si>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</si>
  <si>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</si>
  <si>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</si>
  <si>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</si>
  <si>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</si>
  <si>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</si>
  <si>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</si>
  <si>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</si>
  <si>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</si>
  <si>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</si>
  <si>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</si>
  <si>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</si>
  <si>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</si>
  <si>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</si>
  <si>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</si>
  <si>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</si>
  <si>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</si>
  <si>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</si>
  <si>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</si>
  <si>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</si>
  <si>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</si>
  <si>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</si>
  <si>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</si>
  <si>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</si>
  <si>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</si>
  <si>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</si>
  <si>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</si>
  <si>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</si>
  <si>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</si>
  <si>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</si>
  <si>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</si>
  <si>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</si>
  <si>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</si>
  <si>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</si>
  <si>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</si>
  <si>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</si>
  <si>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</si>
  <si>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</si>
  <si>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</si>
  <si>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</si>
  <si>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</si>
  <si>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</si>
  <si>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</si>
  <si>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</si>
  <si>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</si>
  <si>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</si>
  <si>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</si>
  <si>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</si>
  <si>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</si>
  <si>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</si>
  <si>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</si>
  <si>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</si>
  <si>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</si>
  <si>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</si>
  <si>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</si>
  <si>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</si>
  <si>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</si>
  <si>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</si>
  <si>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</si>
  <si>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</si>
  <si>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</si>
  <si>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</si>
  <si>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</si>
  <si>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</si>
  <si>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</si>
  <si>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</si>
  <si>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</si>
  <si>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</si>
  <si>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</si>
  <si>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</si>
  <si>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</si>
  <si>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</si>
  <si>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</si>
  <si>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</si>
  <si>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</si>
  <si>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</si>
  <si>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</si>
  <si>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</si>
  <si>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</si>
  <si>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</si>
  <si>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</si>
  <si>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</si>
  <si>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</si>
  <si>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</si>
  <si>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</si>
  <si>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</si>
  <si>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</si>
  <si>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</si>
  <si>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</si>
  <si>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</si>
  <si>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</si>
  <si>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</si>
  <si>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</si>
  <si>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</si>
  <si>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</si>
  <si>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</si>
  <si>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</si>
  <si>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</si>
  <si>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</si>
  <si>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</si>
  <si>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</si>
  <si>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</si>
  <si>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</si>
  <si>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</si>
  <si>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</si>
  <si>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</si>
  <si>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</si>
  <si>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</si>
  <si>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</si>
  <si>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</si>
  <si>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</si>
  <si>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</si>
  <si>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</si>
  <si>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</si>
  <si>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</si>
  <si>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</si>
  <si>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</si>
  <si>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</si>
  <si>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</si>
  <si>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</si>
  <si>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</si>
  <si>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</si>
  <si>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</si>
  <si>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</si>
  <si>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</si>
  <si>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</si>
  <si>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</si>
  <si>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</si>
  <si>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</si>
  <si>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</si>
  <si>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</si>
  <si>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</si>
  <si>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</si>
  <si>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</si>
  <si>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</si>
  <si>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</si>
  <si>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</si>
  <si>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</si>
  <si>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</si>
  <si>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</si>
  <si>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</si>
  <si>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</si>
  <si>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</si>
  <si>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</si>
  <si>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</si>
  <si>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</si>
  <si>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</si>
  <si>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</si>
  <si>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</si>
  <si>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</si>
  <si>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</si>
  <si>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</si>
  <si>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</si>
  <si>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</si>
  <si>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</si>
  <si>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</si>
  <si>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</si>
  <si>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</si>
  <si>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</si>
  <si>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</si>
  <si>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</si>
  <si>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</si>
  <si>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</si>
  <si>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</si>
  <si>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</si>
  <si>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</si>
  <si>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</si>
  <si>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</si>
  <si>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</si>
  <si>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</si>
  <si>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</si>
  <si>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</si>
  <si>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</si>
  <si>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</si>
  <si>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</si>
  <si>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</si>
  <si>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</si>
  <si>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</si>
  <si>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</si>
  <si>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</si>
  <si>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</si>
  <si>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</si>
  <si>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</si>
  <si>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</si>
  <si>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</si>
  <si>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</si>
  <si>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</si>
  <si>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</si>
  <si>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</si>
  <si>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</si>
  <si>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</si>
  <si>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</si>
  <si>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</si>
  <si>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</si>
  <si>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</si>
  <si>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</si>
  <si>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</si>
  <si>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</si>
  <si>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</si>
  <si>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</si>
  <si>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</si>
  <si>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</si>
  <si>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</si>
  <si>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</si>
  <si>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</si>
  <si>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</si>
  <si>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</si>
  <si>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</si>
  <si>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</si>
  <si>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</si>
  <si>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</si>
  <si>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</si>
  <si>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</si>
  <si>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</si>
  <si>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</si>
  <si>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</si>
  <si>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</si>
  <si>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</si>
  <si>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</si>
  <si>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</si>
  <si>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</si>
  <si>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</si>
  <si>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</si>
  <si>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</si>
  <si>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</si>
  <si>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</si>
  <si>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</si>
  <si>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</si>
  <si>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</si>
  <si>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</si>
  <si>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</si>
  <si>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</si>
  <si>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</si>
  <si>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</si>
  <si>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</si>
  <si>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</si>
  <si>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</si>
  <si>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</si>
  <si>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</si>
  <si>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</si>
  <si>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</si>
  <si>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</si>
  <si>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</si>
  <si>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</si>
  <si>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</si>
  <si>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</si>
  <si>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</si>
  <si>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</si>
  <si>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</si>
  <si>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</si>
  <si>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</si>
  <si>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</si>
  <si>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</si>
  <si>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</si>
  <si>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</si>
  <si>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</si>
  <si>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</si>
  <si>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</si>
  <si>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</si>
  <si>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</si>
  <si>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</si>
  <si>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</si>
  <si>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</si>
  <si>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</si>
  <si>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</si>
  <si>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</si>
  <si>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</si>
  <si>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</si>
  <si>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</si>
  <si>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</si>
  <si>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</si>
  <si>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</si>
  <si>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</si>
  <si>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</si>
  <si>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</si>
  <si>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</si>
  <si>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</si>
  <si>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</si>
  <si>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</si>
  <si>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</si>
  <si>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</si>
  <si>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</si>
  <si>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</si>
  <si>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</si>
  <si>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</si>
  <si>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</si>
  <si>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</si>
  <si>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</si>
  <si>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</si>
  <si>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</si>
  <si>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</si>
  <si>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</si>
  <si>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</si>
  <si>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</si>
  <si>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</si>
  <si>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</si>
  <si>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</si>
  <si>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</si>
  <si>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</si>
  <si>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</si>
  <si>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</si>
  <si>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</si>
  <si>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</si>
  <si>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</si>
  <si>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</si>
  <si>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</si>
  <si>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</si>
  <si>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</si>
  <si>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</si>
  <si>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</si>
  <si>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</si>
  <si>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</si>
  <si>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</si>
  <si>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</si>
  <si>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</si>
  <si>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</si>
  <si>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</si>
  <si>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</si>
  <si>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</si>
  <si>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</si>
  <si>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</si>
  <si>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</si>
  <si>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</si>
  <si>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</si>
  <si>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</si>
  <si>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</si>
  <si>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</si>
  <si>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</si>
  <si>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</si>
  <si>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</si>
  <si>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</si>
  <si>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</si>
  <si>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</si>
  <si>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</si>
  <si>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</si>
  <si>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</si>
  <si>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</si>
  <si>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</si>
  <si>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</si>
  <si>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</si>
  <si>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</si>
  <si>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</si>
  <si>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</si>
  <si>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</si>
  <si>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</si>
  <si>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</si>
  <si>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</si>
  <si>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</si>
  <si>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</si>
  <si>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</si>
  <si>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</si>
  <si>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</si>
  <si>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</si>
  <si>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</si>
  <si>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</si>
  <si>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</si>
  <si>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</si>
  <si>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</si>
  <si>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</si>
  <si>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</si>
  <si>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</si>
  <si>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</si>
  <si>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</si>
  <si>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</si>
  <si>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</si>
  <si>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</si>
  <si>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</si>
  <si>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</si>
  <si>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</si>
  <si>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</si>
  <si>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</si>
  <si>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</si>
  <si>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</si>
  <si>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</si>
  <si>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</si>
  <si>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</si>
  <si>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</si>
  <si>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</si>
  <si>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</si>
  <si>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</si>
  <si>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</si>
  <si>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</si>
  <si>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</si>
  <si>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</si>
  <si>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</si>
  <si>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</si>
  <si>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</si>
  <si>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</si>
  <si>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</si>
  <si>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</si>
  <si>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</si>
  <si>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</si>
  <si>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</si>
  <si>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</si>
  <si>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</si>
  <si>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</si>
  <si>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</si>
  <si>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</si>
  <si>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</si>
  <si>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</si>
  <si>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</si>
  <si>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</si>
  <si>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</si>
  <si>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</si>
  <si>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</si>
  <si>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</si>
  <si>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</si>
  <si>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</si>
  <si>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</si>
  <si>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</si>
  <si>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</si>
  <si>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</si>
  <si>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</si>
  <si>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</si>
  <si>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</si>
  <si>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</si>
  <si>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</si>
  <si>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</si>
  <si>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</si>
  <si>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</si>
  <si>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</si>
  <si>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</si>
  <si>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</si>
  <si>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</si>
  <si>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</si>
  <si>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</si>
  <si>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</si>
  <si>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</si>
  <si>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</si>
  <si>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</si>
  <si>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</si>
  <si>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</si>
  <si>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</si>
  <si>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</si>
  <si>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</si>
  <si>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</si>
  <si>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</si>
  <si>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</si>
  <si>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</si>
  <si>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</si>
  <si>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</si>
  <si>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</si>
  <si>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</si>
  <si>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</si>
  <si>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</si>
  <si>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</si>
  <si>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</si>
  <si>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</si>
  <si>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</si>
  <si>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</si>
  <si>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</si>
  <si>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</si>
  <si>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</si>
  <si>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</si>
  <si>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</si>
  <si>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</si>
  <si>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</si>
  <si>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</si>
  <si>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</si>
  <si>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</si>
  <si>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</si>
  <si>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</si>
  <si>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</si>
  <si>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</si>
  <si>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</si>
  <si>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</si>
  <si>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</si>
  <si>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</si>
  <si>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</si>
  <si>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</si>
  <si>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</si>
  <si>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</si>
  <si>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</si>
  <si>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</si>
  <si>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</si>
  <si>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</si>
  <si>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</si>
  <si>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</si>
  <si>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</si>
  <si>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</si>
  <si>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</si>
  <si>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</si>
  <si>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</si>
  <si>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</si>
  <si>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</si>
  <si>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</si>
  <si>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</si>
  <si>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</si>
  <si>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</si>
  <si>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</si>
  <si>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</si>
  <si>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</si>
  <si>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</si>
  <si>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</si>
  <si>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</si>
  <si>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</si>
  <si>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</si>
  <si>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</si>
  <si>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</si>
  <si>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</si>
  <si>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</si>
  <si>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</si>
  <si>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</si>
  <si>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</si>
  <si>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</si>
  <si>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</si>
  <si>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</si>
  <si>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</si>
  <si>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</si>
  <si>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</si>
  <si>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</si>
  <si>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</si>
  <si>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</si>
  <si>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</si>
  <si>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</si>
  <si>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</si>
  <si>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</si>
  <si>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</si>
  <si>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</si>
  <si>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</si>
  <si>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</si>
  <si>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</si>
  <si>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</si>
  <si>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</si>
  <si>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</si>
  <si>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</si>
  <si>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</si>
  <si>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</si>
  <si>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</si>
  <si>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</si>
  <si>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</si>
  <si>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</si>
  <si>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</si>
  <si>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</si>
  <si>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</si>
  <si>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</si>
  <si>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</si>
  <si>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</si>
  <si>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</si>
  <si>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</si>
  <si>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</si>
  <si>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</si>
  <si>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</si>
  <si>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</si>
  <si>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</si>
  <si>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</si>
  <si>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</si>
  <si>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</si>
  <si>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</si>
  <si>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</si>
  <si>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</si>
  <si>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</si>
  <si>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</si>
  <si>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</si>
  <si>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</si>
  <si>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</si>
  <si>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</si>
  <si>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</si>
  <si>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</si>
  <si>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</si>
  <si>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</si>
  <si>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</si>
  <si>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</si>
  <si>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</si>
  <si>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</si>
  <si>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</si>
  <si>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</si>
  <si>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</si>
  <si>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</si>
  <si>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</si>
  <si>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</si>
  <si>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</si>
  <si>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</si>
  <si>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</si>
  <si>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</si>
  <si>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</si>
  <si>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</si>
  <si>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</si>
  <si>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</si>
  <si>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</si>
  <si>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</si>
  <si>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</si>
  <si>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</si>
  <si>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</si>
  <si>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</si>
  <si>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</si>
  <si>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</si>
  <si>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</si>
  <si>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</si>
  <si>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</si>
  <si>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</si>
  <si>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</si>
  <si>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</si>
  <si>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</si>
  <si>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</si>
  <si>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</si>
  <si>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</si>
  <si>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</si>
  <si>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</si>
  <si>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</si>
  <si>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</si>
  <si>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</si>
  <si>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</si>
  <si>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</si>
  <si>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</si>
  <si>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</si>
  <si>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</si>
  <si>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</si>
  <si>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</si>
  <si>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</si>
  <si>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</si>
  <si>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</si>
  <si>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</si>
  <si>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</si>
  <si>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</si>
  <si>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</si>
  <si>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</si>
  <si>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</si>
  <si>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</si>
  <si>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</si>
  <si>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</si>
  <si>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</si>
  <si>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</si>
  <si>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</si>
  <si>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</si>
  <si>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</si>
  <si>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</si>
  <si>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</si>
  <si>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</si>
  <si>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</si>
  <si>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</si>
  <si>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</si>
  <si>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</si>
  <si>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</si>
  <si>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</si>
  <si>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</si>
  <si>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</si>
  <si>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</si>
  <si>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</si>
  <si>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</si>
  <si>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</si>
  <si>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</si>
  <si>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</si>
  <si>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</si>
  <si>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</si>
  <si>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</si>
  <si>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</si>
  <si>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</si>
  <si>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</si>
  <si>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</si>
  <si>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</si>
  <si>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</si>
  <si>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</si>
  <si>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</si>
  <si>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</si>
  <si>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</si>
  <si>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</si>
  <si>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</si>
  <si>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</si>
  <si>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</si>
  <si>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</si>
  <si>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</si>
  <si>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</si>
  <si>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</si>
  <si>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</si>
  <si>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</si>
  <si>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</si>
  <si>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</si>
  <si>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</si>
  <si>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</si>
  <si>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</si>
  <si>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</si>
  <si>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</si>
  <si>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</si>
  <si>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</si>
  <si>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</si>
  <si>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</si>
  <si>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</si>
  <si>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</si>
  <si>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</si>
  <si>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</si>
  <si>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</si>
  <si>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</si>
  <si>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</si>
  <si>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</si>
  <si>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</si>
  <si>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</si>
  <si>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</si>
  <si>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</si>
  <si>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</si>
  <si>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</si>
  <si>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</si>
  <si>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</si>
  <si>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</si>
  <si>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</si>
  <si>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</si>
  <si>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</si>
  <si>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</si>
  <si>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</si>
  <si>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</si>
  <si>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</si>
  <si>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</si>
  <si>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</si>
  <si>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</si>
  <si>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</si>
  <si>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</si>
  <si>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</si>
  <si>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</si>
  <si>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</si>
  <si>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</si>
  <si>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</si>
  <si>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</si>
  <si>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</si>
  <si>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</si>
  <si>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</si>
  <si>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</si>
  <si>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</si>
  <si>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</si>
  <si>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</si>
  <si>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</si>
  <si>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</si>
  <si>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</si>
  <si>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</si>
  <si>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</si>
  <si>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</si>
  <si>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</si>
  <si>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</si>
  <si>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</si>
  <si>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</si>
  <si>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</si>
  <si>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</si>
  <si>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</si>
  <si>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</si>
  <si>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</si>
  <si>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</si>
  <si>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</si>
  <si>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</si>
  <si>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</si>
  <si>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</si>
  <si>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</si>
  <si>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</si>
  <si>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</si>
  <si>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</si>
  <si>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</si>
  <si>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</si>
  <si>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</si>
  <si>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</si>
  <si>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</si>
  <si>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</si>
  <si>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</si>
  <si>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</si>
  <si>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</si>
  <si>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</si>
  <si>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</si>
  <si>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</si>
  <si>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</si>
  <si>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</si>
  <si>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</si>
  <si>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</si>
  <si>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</si>
  <si>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</si>
  <si>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</si>
  <si>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</si>
  <si>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</si>
  <si>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</si>
  <si>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</si>
  <si>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</si>
  <si>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</si>
  <si>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</si>
  <si>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</si>
  <si>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</si>
  <si>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</si>
  <si>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</si>
  <si>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</si>
  <si>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</si>
  <si>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</si>
  <si>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</si>
  <si>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</si>
  <si>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</si>
  <si>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</si>
  <si>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</si>
  <si>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</si>
  <si>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</si>
  <si>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</si>
  <si>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</si>
  <si>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</si>
  <si>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</si>
  <si>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</si>
  <si>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</si>
  <si>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</si>
  <si>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</si>
  <si>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</si>
  <si>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</si>
  <si>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</si>
  <si>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</si>
  <si>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</si>
  <si>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</si>
  <si>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</si>
  <si>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</si>
  <si>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</si>
  <si>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</si>
  <si>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</si>
  <si>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</si>
  <si>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</si>
  <si>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</si>
  <si>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</si>
  <si>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</si>
  <si>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</si>
  <si>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</si>
  <si>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</si>
  <si>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</si>
  <si>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</si>
  <si>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</si>
  <si>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</si>
  <si>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</si>
  <si>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</si>
  <si>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</si>
  <si>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</si>
  <si>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</si>
  <si>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</si>
  <si>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</si>
  <si>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</si>
  <si>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</si>
  <si>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</si>
  <si>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</si>
  <si>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</si>
  <si>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</si>
  <si>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</si>
  <si>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</si>
  <si>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</si>
  <si>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</si>
  <si>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</si>
  <si>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</si>
  <si>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</si>
  <si>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</si>
  <si>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</si>
  <si>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</si>
  <si>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</si>
  <si>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</si>
  <si>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</si>
  <si>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</si>
  <si>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</si>
  <si>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</si>
  <si>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</si>
  <si>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</si>
  <si>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</si>
  <si>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</si>
  <si>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</si>
  <si>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</si>
  <si>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</si>
  <si>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</si>
  <si>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</si>
  <si>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</si>
  <si>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</si>
  <si>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</si>
  <si>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</si>
  <si>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</si>
  <si>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</si>
  <si>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</si>
  <si>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</si>
  <si>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</si>
  <si>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</si>
  <si>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</si>
  <si>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</si>
  <si>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</si>
  <si>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</si>
  <si>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</si>
  <si>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</si>
  <si>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</si>
  <si>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</si>
  <si>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</si>
  <si>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</si>
  <si>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</si>
  <si>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</si>
  <si>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</si>
  <si>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</si>
  <si>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</si>
  <si>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</si>
  <si>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</si>
  <si>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</si>
  <si>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</si>
  <si>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</si>
  <si>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</si>
  <si>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</si>
  <si>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</si>
  <si>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</si>
  <si>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</si>
  <si>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</si>
  <si>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</si>
  <si>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</si>
  <si>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</si>
  <si>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</si>
  <si>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</si>
  <si>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</si>
  <si>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</si>
  <si>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</si>
  <si>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</si>
  <si>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</si>
  <si>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</si>
  <si>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</si>
  <si>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</si>
  <si>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</si>
  <si>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</si>
  <si>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</si>
  <si>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</si>
  <si>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</si>
  <si>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</si>
  <si>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</si>
  <si>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</si>
  <si>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</si>
  <si>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</si>
  <si>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</si>
  <si>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</si>
  <si>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</si>
  <si>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</si>
  <si>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</si>
  <si>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</si>
  <si>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</si>
  <si>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</si>
  <si>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</si>
  <si>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</si>
  <si>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</si>
  <si>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</si>
  <si>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</si>
  <si>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</si>
  <si>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</si>
  <si>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</si>
  <si>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</si>
  <si>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</si>
  <si>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</si>
  <si>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</si>
  <si>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</si>
  <si>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</si>
  <si>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</si>
  <si>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</si>
  <si>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</si>
  <si>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</si>
  <si>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</si>
  <si>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</si>
  <si>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</si>
  <si>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</si>
  <si>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</si>
  <si>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</si>
  <si>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</si>
  <si>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</si>
  <si>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</si>
  <si>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</si>
  <si>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</si>
  <si>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</si>
  <si>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</si>
  <si>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</si>
  <si>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</si>
  <si>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</si>
  <si>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</si>
  <si>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</si>
  <si>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</si>
  <si>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</si>
  <si>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</si>
  <si>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</si>
  <si>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</si>
  <si>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</si>
  <si>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</si>
  <si>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</si>
  <si>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</si>
  <si>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</si>
  <si>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</si>
  <si>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</si>
  <si>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</si>
  <si>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</si>
  <si>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</si>
  <si>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</si>
  <si>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</si>
  <si>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</si>
  <si>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</si>
  <si>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</si>
  <si>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</si>
  <si>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</si>
  <si>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</si>
  <si>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</si>
  <si>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</si>
  <si>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</si>
  <si>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</si>
  <si>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</si>
  <si>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</si>
  <si>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</si>
  <si>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</si>
  <si>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</si>
  <si>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</si>
  <si>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</si>
  <si>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</si>
  <si>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</si>
  <si>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</si>
  <si>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</si>
  <si>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</si>
  <si>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</si>
  <si>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</si>
  <si>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</si>
  <si>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</si>
  <si>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</si>
  <si>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</si>
  <si>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</si>
  <si>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</si>
  <si>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</si>
  <si>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</si>
  <si>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</si>
  <si>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</si>
  <si>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</si>
  <si>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</si>
  <si>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</si>
  <si>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</si>
  <si>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</si>
  <si>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</si>
  <si>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</si>
  <si>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</si>
  <si>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</si>
  <si>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</si>
  <si>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</si>
  <si>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</si>
  <si>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</si>
  <si>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</si>
  <si>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</si>
  <si>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</si>
  <si>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</si>
  <si>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</si>
  <si>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</si>
  <si>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</si>
  <si>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</si>
  <si>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</si>
  <si>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</si>
  <si>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</si>
  <si>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</si>
  <si>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</si>
  <si>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</si>
  <si>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</si>
  <si>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</si>
  <si>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</si>
  <si>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</si>
  <si>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</si>
  <si>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</si>
  <si>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</si>
  <si>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</si>
  <si>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</si>
  <si>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</si>
  <si>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</si>
  <si>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</si>
  <si>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</si>
  <si>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</si>
  <si>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</si>
  <si>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</si>
  <si>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</si>
  <si>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</si>
  <si>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</si>
  <si>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</si>
  <si>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</si>
  <si>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</si>
  <si>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</si>
  <si>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</si>
  <si>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</si>
  <si>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</si>
  <si>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</si>
  <si>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</si>
  <si>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</si>
  <si>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</si>
  <si>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</si>
  <si>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</si>
  <si>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</si>
  <si>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</si>
  <si>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</si>
  <si>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</si>
  <si>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</si>
  <si>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</si>
  <si>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</si>
  <si>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</si>
  <si>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</si>
  <si>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</si>
  <si>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</si>
  <si>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</si>
  <si>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</si>
  <si>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</si>
  <si>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</si>
  <si>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</si>
  <si>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</si>
  <si>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</si>
  <si>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</si>
  <si>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</si>
  <si>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</si>
  <si>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</si>
  <si>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</si>
  <si>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</si>
  <si>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</si>
  <si>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</si>
  <si>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</si>
  <si>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</si>
  <si>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</si>
  <si>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</si>
  <si>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</si>
  <si>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</si>
  <si>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</si>
  <si>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</si>
  <si>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</si>
  <si>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</si>
  <si>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</si>
  <si>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</si>
  <si>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</si>
  <si>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</si>
  <si>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</si>
  <si>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</si>
  <si>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</si>
  <si>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</si>
  <si>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</si>
  <si>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</si>
  <si>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</si>
  <si>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</si>
  <si>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</si>
  <si>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</si>
  <si>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</si>
  <si>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</si>
  <si>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</si>
  <si>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</si>
  <si>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</si>
  <si>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</si>
  <si>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</si>
  <si>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</si>
  <si>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</si>
  <si>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</si>
  <si>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</si>
  <si>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</si>
  <si>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</si>
  <si>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</si>
  <si>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</si>
  <si>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</si>
  <si>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</si>
  <si>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</si>
  <si>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</si>
  <si>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</si>
  <si>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</si>
  <si>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</si>
  <si>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</si>
  <si>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</si>
  <si>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</si>
  <si>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</si>
  <si>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</si>
  <si>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</si>
  <si>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</si>
  <si>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</si>
  <si>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</si>
  <si>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</si>
  <si>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</si>
  <si>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</si>
  <si>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</si>
  <si>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</si>
  <si>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</si>
  <si>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</si>
  <si>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</si>
  <si>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</si>
  <si>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</si>
  <si>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</si>
  <si>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</si>
  <si>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</si>
  <si>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</si>
  <si>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</si>
  <si>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</si>
  <si>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</si>
  <si>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</si>
  <si>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</si>
  <si>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</si>
  <si>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</si>
  <si>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</si>
  <si>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</si>
  <si>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</si>
  <si>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</si>
  <si>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</si>
  <si>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</si>
  <si>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</si>
  <si>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</si>
  <si>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</si>
  <si>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</si>
  <si>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</si>
  <si>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</si>
  <si>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</si>
  <si>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</si>
  <si>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</si>
  <si>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</si>
  <si>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</si>
  <si>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</si>
  <si>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</si>
  <si>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</si>
  <si>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</si>
  <si>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</si>
  <si>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</si>
  <si>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</si>
  <si>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</si>
  <si>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</si>
  <si>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</si>
  <si>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</si>
  <si>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</si>
  <si>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</si>
  <si>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</si>
  <si>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</si>
  <si>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</si>
  <si>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</si>
  <si>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</si>
  <si>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</si>
  <si>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</si>
  <si>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</si>
  <si>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</si>
  <si>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</si>
  <si>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</si>
  <si>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</si>
  <si>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</si>
  <si>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</si>
  <si>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</si>
  <si>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</si>
  <si>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</si>
  <si>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</si>
  <si>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</si>
  <si>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</si>
  <si>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</si>
  <si>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</si>
  <si>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</si>
  <si>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</si>
  <si>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</si>
  <si>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</si>
  <si>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</si>
  <si>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</si>
  <si>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</si>
  <si>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</si>
  <si>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</si>
  <si>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</si>
  <si>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</si>
  <si>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</si>
  <si>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</si>
  <si>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</si>
  <si>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</si>
  <si>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</si>
  <si>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</si>
  <si>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</si>
  <si>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</si>
  <si>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</si>
  <si>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</si>
  <si>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</si>
  <si>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</si>
  <si>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</si>
  <si>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</si>
  <si>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</si>
  <si>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</si>
  <si>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</si>
  <si>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</si>
  <si>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</si>
  <si>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</si>
  <si>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</si>
  <si>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</si>
  <si>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</si>
  <si>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</si>
  <si>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</si>
  <si>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</si>
  <si>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</si>
  <si>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</si>
  <si>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</si>
  <si>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</si>
  <si>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</si>
  <si>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</si>
  <si>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</si>
  <si>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</si>
  <si>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</si>
  <si>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</si>
  <si>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</si>
  <si>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</si>
  <si>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</si>
  <si>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</si>
  <si>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</si>
  <si>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</si>
  <si>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</si>
  <si>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</si>
  <si>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</si>
  <si>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</si>
  <si>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</si>
  <si>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</si>
  <si>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</si>
  <si>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</si>
  <si>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</si>
  <si>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</si>
  <si>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</si>
  <si>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</si>
  <si>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</si>
  <si>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</si>
  <si>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</si>
  <si>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</si>
  <si>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</si>
  <si>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</si>
  <si>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</si>
  <si>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</si>
  <si>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</si>
  <si>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</si>
  <si>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</si>
  <si>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</si>
  <si>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</si>
  <si>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</si>
  <si>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</si>
  <si>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</si>
  <si>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</si>
  <si>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</si>
  <si>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</si>
  <si>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</si>
  <si>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</si>
  <si>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</si>
  <si>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</si>
  <si>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</si>
  <si>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</si>
  <si>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</si>
  <si>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</si>
  <si>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</si>
  <si>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</si>
  <si>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</si>
  <si>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</si>
  <si>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</si>
  <si>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</si>
  <si>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</si>
  <si>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</si>
  <si>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</si>
  <si>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</si>
  <si>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</si>
  <si>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</si>
  <si>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</si>
  <si>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</si>
  <si>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</si>
  <si>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</si>
  <si>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</si>
  <si>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</si>
  <si>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</si>
  <si>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</si>
  <si>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</si>
  <si>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</si>
  <si>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</si>
  <si>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</si>
  <si>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</si>
  <si>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</si>
  <si>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</si>
  <si>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</si>
  <si>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</si>
  <si>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</si>
  <si>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</si>
  <si>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</si>
  <si>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</si>
  <si>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</si>
  <si>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</si>
  <si>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</si>
  <si>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</si>
  <si>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</si>
  <si>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</si>
  <si>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</si>
  <si>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</si>
  <si>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</si>
  <si>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</si>
  <si>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</si>
  <si>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</si>
  <si>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</si>
  <si>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</si>
  <si>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</si>
  <si>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</si>
  <si>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</si>
  <si>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</si>
  <si>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</si>
  <si>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</si>
  <si>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</si>
  <si>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</si>
  <si>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</si>
  <si>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</si>
  <si>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</si>
  <si>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</si>
  <si>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</si>
  <si>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</si>
  <si>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</si>
  <si>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</si>
  <si>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</si>
  <si>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</si>
  <si>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</si>
  <si>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</si>
  <si>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</si>
  <si>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</si>
  <si>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</si>
  <si>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</si>
  <si>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</si>
  <si>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</si>
  <si>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</si>
  <si>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</si>
  <si>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</si>
  <si>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</si>
  <si>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</si>
  <si>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</si>
  <si>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</si>
  <si>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</si>
  <si>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</si>
  <si>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</si>
  <si>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</si>
  <si>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</si>
  <si>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</si>
  <si>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</si>
  <si>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</si>
  <si>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</si>
  <si>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</si>
  <si>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</si>
  <si>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</si>
  <si>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</si>
  <si>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</si>
  <si>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</si>
  <si>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</si>
  <si>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</si>
  <si>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</si>
  <si>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</si>
  <si>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</si>
  <si>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</si>
  <si>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</si>
  <si>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</si>
  <si>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</si>
  <si>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</si>
  <si>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</si>
  <si>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</si>
  <si>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</si>
  <si>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</si>
  <si>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</si>
  <si>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</si>
  <si>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</si>
  <si>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</si>
  <si>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</si>
  <si>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</si>
  <si>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</si>
  <si>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</si>
  <si>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</si>
  <si>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</si>
  <si>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</si>
  <si>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</si>
  <si>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</si>
  <si>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</si>
  <si>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</si>
  <si>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</si>
  <si>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</si>
  <si>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</si>
  <si>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</si>
  <si>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</si>
  <si>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</si>
  <si>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</si>
  <si>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</si>
  <si>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</si>
  <si>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</si>
  <si>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</si>
  <si>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</si>
  <si>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</si>
  <si>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</si>
  <si>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</si>
  <si>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</si>
  <si>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</si>
  <si>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</si>
  <si>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</si>
  <si>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</si>
  <si>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</si>
  <si>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</si>
  <si>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</si>
  <si>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</si>
  <si>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</si>
  <si>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</si>
  <si>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</si>
  <si>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</si>
  <si>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</si>
  <si>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</si>
  <si>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</si>
  <si>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</si>
  <si>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</si>
  <si>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</si>
  <si>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</si>
  <si>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</si>
  <si>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</si>
  <si>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</si>
  <si>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</si>
  <si>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</si>
  <si>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</si>
  <si>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</si>
  <si>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</si>
  <si>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</si>
  <si>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</si>
  <si>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</si>
  <si>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</si>
  <si>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</si>
  <si>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</si>
  <si>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</si>
  <si>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</si>
  <si>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</si>
  <si>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</si>
  <si>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</si>
  <si>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</si>
  <si>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</si>
  <si>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</si>
  <si>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</si>
  <si>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</si>
  <si>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</si>
  <si>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</si>
  <si>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</si>
  <si>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</si>
  <si>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</si>
  <si>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</si>
  <si>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</si>
  <si>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</si>
  <si>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</si>
  <si>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</si>
  <si>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</si>
  <si>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</si>
  <si>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</si>
  <si>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</si>
  <si>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</si>
  <si>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</si>
  <si>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</si>
  <si>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</si>
  <si>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</si>
  <si>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</si>
  <si>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</si>
  <si>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</si>
  <si>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</si>
  <si>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</si>
  <si>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</si>
  <si>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</si>
  <si>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</si>
  <si>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</si>
  <si>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</si>
  <si>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</si>
  <si>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</si>
  <si>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</si>
  <si>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</si>
  <si>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</si>
  <si>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</si>
  <si>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</si>
  <si>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</si>
  <si>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</si>
  <si>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</si>
  <si>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</si>
  <si>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</si>
  <si>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</si>
  <si>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</si>
  <si>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</si>
  <si>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</si>
  <si>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</si>
  <si>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</si>
  <si>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</si>
  <si>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</si>
  <si>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</si>
  <si>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</si>
  <si>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</si>
  <si>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</si>
  <si>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</si>
  <si>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</si>
  <si>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</si>
  <si>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</si>
  <si>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</si>
  <si>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</si>
  <si>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</si>
  <si>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</si>
  <si>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</si>
  <si>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</si>
  <si>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</si>
  <si>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</si>
  <si>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</si>
  <si>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</si>
  <si>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</si>
  <si>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</si>
  <si>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</si>
  <si>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</si>
  <si>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</si>
  <si>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</si>
  <si>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</si>
  <si>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</si>
  <si>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</si>
  <si>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</si>
  <si>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</si>
  <si>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</si>
  <si>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</si>
  <si>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</si>
  <si>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</si>
  <si>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</si>
  <si>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</si>
  <si>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</si>
  <si>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</si>
  <si>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</si>
  <si>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</si>
  <si>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</si>
  <si>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</si>
  <si>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</si>
  <si>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</si>
  <si>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</si>
  <si>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</si>
  <si>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</si>
  <si>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</si>
  <si>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</si>
  <si>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</si>
  <si>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</si>
  <si>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</si>
  <si>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</si>
  <si>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</si>
  <si>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</si>
  <si>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</si>
  <si>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</si>
  <si>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</si>
  <si>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</si>
  <si>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</si>
  <si>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</si>
  <si>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</si>
  <si>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</si>
  <si>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</si>
  <si>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</si>
  <si>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</si>
  <si>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</si>
  <si>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</si>
  <si>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</si>
  <si>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</si>
  <si>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</si>
  <si>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</si>
  <si>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</si>
  <si>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</si>
  <si>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</si>
  <si>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</si>
  <si>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</si>
  <si>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</si>
  <si>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</si>
  <si>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</si>
  <si>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</si>
  <si>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</si>
  <si>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</si>
  <si>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</si>
  <si>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</si>
  <si>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</si>
  <si>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</si>
  <si>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</si>
  <si>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</si>
  <si>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</si>
  <si>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</si>
  <si>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</si>
  <si>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</si>
  <si>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</si>
  <si>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</si>
  <si>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</si>
  <si>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</si>
  <si>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</si>
  <si>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</si>
  <si>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</si>
  <si>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</si>
  <si>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</si>
  <si>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</si>
  <si>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</si>
  <si>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</si>
  <si>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</si>
  <si>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</si>
  <si>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</si>
  <si>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</si>
  <si>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</si>
  <si>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</si>
  <si>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</si>
  <si>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</si>
  <si>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</si>
  <si>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</si>
  <si>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</si>
  <si>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</si>
  <si>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</si>
  <si>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</si>
  <si>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</si>
  <si>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</si>
  <si>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</si>
  <si>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</si>
  <si>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</si>
  <si>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</si>
  <si>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</si>
  <si>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</si>
  <si>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</si>
  <si>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</si>
  <si>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</si>
  <si>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</si>
  <si>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</si>
  <si>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</si>
  <si>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</si>
  <si>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</si>
  <si>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</si>
  <si>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</si>
  <si>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</si>
  <si>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</si>
  <si>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</si>
  <si>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</si>
  <si>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</si>
  <si>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</si>
  <si>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</si>
  <si>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</si>
  <si>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</si>
  <si>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</si>
  <si>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</si>
  <si>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</si>
  <si>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</si>
  <si>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</si>
  <si>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</si>
  <si>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</si>
  <si>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</si>
  <si>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</si>
  <si>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</si>
  <si>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</si>
  <si>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</si>
  <si>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</si>
  <si>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</si>
  <si>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</si>
  <si>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</si>
  <si>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</si>
  <si>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</si>
  <si>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</si>
  <si>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</si>
  <si>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</si>
  <si>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</si>
  <si>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</si>
  <si>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</si>
  <si>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</si>
  <si>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</si>
  <si>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</si>
  <si>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</si>
  <si>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</si>
  <si>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</si>
  <si>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</si>
  <si>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</si>
  <si>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</si>
  <si>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</si>
  <si>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</si>
  <si>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</si>
  <si>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</si>
  <si>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</si>
  <si>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</si>
  <si>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</si>
  <si>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</si>
  <si>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</si>
  <si>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</si>
  <si>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</si>
  <si>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</si>
  <si>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</si>
  <si>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</si>
  <si>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</si>
  <si>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</si>
  <si>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</si>
  <si>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</si>
  <si>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</si>
  <si>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</si>
  <si>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</si>
  <si>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</si>
  <si>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</si>
  <si>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</si>
  <si>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</si>
  <si>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</si>
  <si>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</si>
  <si>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</si>
  <si>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</si>
  <si>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</si>
  <si>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</si>
  <si>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</si>
  <si>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</si>
  <si>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</si>
  <si>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</si>
  <si>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</si>
  <si>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</si>
  <si>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</si>
  <si>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</si>
  <si>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</si>
  <si>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</si>
  <si>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</si>
  <si>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</si>
  <si>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</si>
  <si>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</si>
  <si>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</si>
  <si>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</si>
  <si>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</si>
  <si>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</si>
  <si>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</si>
  <si>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</si>
  <si>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</si>
  <si>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</si>
  <si>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</si>
  <si>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</si>
  <si>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</si>
  <si>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</si>
  <si>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</si>
  <si>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</si>
  <si>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</si>
  <si>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</si>
  <si>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</si>
  <si>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</si>
  <si>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</si>
  <si>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</si>
  <si>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</si>
  <si>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</si>
  <si>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</si>
  <si>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</si>
  <si>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</si>
  <si>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</si>
  <si>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</si>
  <si>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</si>
  <si>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</si>
  <si>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</si>
  <si>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</si>
  <si>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</si>
  <si>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</si>
  <si>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</si>
  <si>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</si>
  <si>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</si>
  <si>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</si>
  <si>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</si>
  <si>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</si>
  <si>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</si>
  <si>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</si>
  <si>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</si>
  <si>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</si>
  <si>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</si>
  <si>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</si>
  <si>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</si>
  <si>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</si>
  <si>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</si>
  <si>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</si>
  <si>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</si>
  <si>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</si>
  <si>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</si>
  <si>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</si>
  <si>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</si>
  <si>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</si>
  <si>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</si>
  <si>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</si>
  <si>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</si>
  <si>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</si>
  <si>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</si>
  <si>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</si>
  <si>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</si>
  <si>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</si>
  <si>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</si>
  <si>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</si>
  <si>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</si>
  <si>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</si>
  <si>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</si>
  <si>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</si>
  <si>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</si>
  <si>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</si>
  <si>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</si>
  <si>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</si>
  <si>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</si>
  <si>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</si>
  <si>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</si>
  <si>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</si>
  <si>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</si>
  <si>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</si>
  <si>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</si>
  <si>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</si>
  <si>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</si>
  <si>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</si>
  <si>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</si>
  <si>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</si>
  <si>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</si>
  <si>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</si>
  <si>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</si>
  <si>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</si>
  <si>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</si>
  <si>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</si>
  <si>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</si>
  <si>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</si>
  <si>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</si>
  <si>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</si>
  <si>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</si>
  <si>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</si>
  <si>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</si>
  <si>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</si>
  <si>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</si>
  <si>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</si>
  <si>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</si>
  <si>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</si>
  <si>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</si>
  <si>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</si>
  <si>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</si>
  <si>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</si>
  <si>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</si>
  <si>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</si>
  <si>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</si>
  <si>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</si>
  <si>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</si>
  <si>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</si>
  <si>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</si>
  <si>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</si>
  <si>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</si>
  <si>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</si>
  <si>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</si>
  <si>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</si>
  <si>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</si>
  <si>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</si>
  <si>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</si>
  <si>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</si>
  <si>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</si>
  <si>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</si>
  <si>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</si>
  <si>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</si>
  <si>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</si>
  <si>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</si>
  <si>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</si>
  <si>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</si>
  <si>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</si>
  <si>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</si>
  <si>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</si>
  <si>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</si>
  <si>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</si>
  <si>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</si>
  <si>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</si>
  <si>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</si>
  <si>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</si>
  <si>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</si>
  <si>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</si>
  <si>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</si>
  <si>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</si>
  <si>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</si>
  <si>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</si>
  <si>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</si>
  <si>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</si>
  <si>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</si>
  <si>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</si>
  <si>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</si>
  <si>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</si>
  <si>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</si>
  <si>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</si>
  <si>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</si>
  <si>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</si>
  <si>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</si>
  <si>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</si>
  <si>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</si>
  <si>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</si>
  <si>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</si>
  <si>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</si>
  <si>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</si>
  <si>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</si>
  <si>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</si>
  <si>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</si>
  <si>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</si>
  <si>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</si>
  <si>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</si>
  <si>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</si>
  <si>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</si>
  <si>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</si>
  <si>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</si>
  <si>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</si>
  <si>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</si>
  <si>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</si>
  <si>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</si>
  <si>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</si>
  <si>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</si>
  <si>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</si>
  <si>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</si>
  <si>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</si>
  <si>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</si>
  <si>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</si>
  <si>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</si>
  <si>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</si>
  <si>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</si>
  <si>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</si>
  <si>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</si>
  <si>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</si>
  <si>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</si>
  <si>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</si>
  <si>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</si>
  <si>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</si>
  <si>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</si>
  <si>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</si>
  <si>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</si>
  <si>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</si>
  <si>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</si>
  <si>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</si>
  <si>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</si>
  <si>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</si>
  <si>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</si>
  <si>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</si>
  <si>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</si>
  <si>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</si>
  <si>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</si>
  <si>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</si>
  <si>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</si>
  <si>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</si>
  <si>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</si>
  <si>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</si>
  <si>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</si>
  <si>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</si>
  <si>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</si>
  <si>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</si>
  <si>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</si>
  <si>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</si>
  <si>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</si>
  <si>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</si>
  <si>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</si>
  <si>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</si>
  <si>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</si>
  <si>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</si>
  <si>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</si>
  <si>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</si>
  <si>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</si>
  <si>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</si>
  <si>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</si>
  <si>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</si>
  <si>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</si>
  <si>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</si>
  <si>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</si>
  <si>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</si>
  <si>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</si>
  <si>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</si>
  <si>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</si>
  <si>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</si>
  <si>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</si>
  <si>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</si>
  <si>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</si>
  <si>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</si>
  <si>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</si>
  <si>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</si>
  <si>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</si>
  <si>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</si>
  <si>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</si>
  <si>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</si>
  <si>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</si>
  <si>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</si>
  <si>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</si>
  <si>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</si>
  <si>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</si>
  <si>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</si>
  <si>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</si>
  <si>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</si>
  <si>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</si>
  <si>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</si>
  <si>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</si>
  <si>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</si>
  <si>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</si>
  <si>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</si>
  <si>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</si>
  <si>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</si>
  <si>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</si>
  <si>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</si>
  <si>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</si>
  <si>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</si>
  <si>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</si>
  <si>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</si>
  <si>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</si>
  <si>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</si>
  <si>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</si>
  <si>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</si>
  <si>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</si>
  <si>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</si>
  <si>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</si>
  <si>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</si>
  <si>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</si>
  <si>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</si>
  <si>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</si>
  <si>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</si>
  <si>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</si>
  <si>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</si>
  <si>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</si>
  <si>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</si>
  <si>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</si>
  <si>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</si>
  <si>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</si>
  <si>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</si>
  <si>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</si>
  <si>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</si>
  <si>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</si>
  <si>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</si>
  <si>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</si>
  <si>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</si>
  <si>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</si>
  <si>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</si>
  <si>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</si>
  <si>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</si>
  <si>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</si>
  <si>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</si>
  <si>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</si>
  <si>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</si>
  <si>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</si>
  <si>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</si>
  <si>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</si>
  <si>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</si>
  <si>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</si>
  <si>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</si>
  <si>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</si>
  <si>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</si>
  <si>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</si>
  <si>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</si>
  <si>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</si>
  <si>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</si>
  <si>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</si>
  <si>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</si>
  <si>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</si>
  <si>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</si>
  <si>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</si>
  <si>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</si>
  <si>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</si>
  <si>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</si>
  <si>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</si>
  <si>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</si>
  <si>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</si>
  <si>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</si>
  <si>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</si>
  <si>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</si>
  <si>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</si>
  <si>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</si>
  <si>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</si>
  <si>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</si>
  <si>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</si>
  <si>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</si>
  <si>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</si>
  <si>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</si>
  <si>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</si>
  <si>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</si>
  <si>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</si>
  <si>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</si>
  <si>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</si>
  <si>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</si>
  <si>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</si>
  <si>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</si>
  <si>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</si>
  <si>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</si>
  <si>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</si>
  <si>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</si>
  <si>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</si>
  <si>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</si>
  <si>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</si>
  <si>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</si>
  <si>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</si>
  <si>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</si>
  <si>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</si>
  <si>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</si>
  <si>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</si>
  <si>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</si>
  <si>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</si>
  <si>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</si>
  <si>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</si>
  <si>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</si>
  <si>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</si>
  <si>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</si>
  <si>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</si>
  <si>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</si>
  <si>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</si>
  <si>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</si>
  <si>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</si>
  <si>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</si>
  <si>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</si>
  <si>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</si>
  <si>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</si>
  <si>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</si>
  <si>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</si>
  <si>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</si>
  <si>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</si>
  <si>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</si>
  <si>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</si>
  <si>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</si>
  <si>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</si>
  <si>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</si>
  <si>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</si>
  <si>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</si>
  <si>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</si>
  <si>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</si>
  <si>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</si>
  <si>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</si>
  <si>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</si>
  <si>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</si>
  <si>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</si>
  <si>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</si>
  <si>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</si>
  <si>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</si>
  <si>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</si>
  <si>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</si>
  <si>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</si>
  <si>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</si>
  <si>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</si>
  <si>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</si>
  <si>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</si>
  <si>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</si>
  <si>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</si>
  <si>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</si>
  <si>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</si>
  <si>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</si>
  <si>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</si>
  <si>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</si>
  <si>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</si>
  <si>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</si>
  <si>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</si>
  <si>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</si>
  <si>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</si>
  <si>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</si>
  <si>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</si>
  <si>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</si>
  <si>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</si>
  <si>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</si>
  <si>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</si>
  <si>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</si>
  <si>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</si>
  <si>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</si>
  <si>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</si>
  <si>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</si>
  <si>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</si>
  <si>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</si>
  <si>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</si>
  <si>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</si>
  <si>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</si>
  <si>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</si>
  <si>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</si>
  <si>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</si>
  <si>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</si>
  <si>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</si>
  <si>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</si>
  <si>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</si>
  <si>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</si>
  <si>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</si>
  <si>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</si>
  <si>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</si>
  <si>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</si>
  <si>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</si>
  <si>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</si>
  <si>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</si>
  <si>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</si>
  <si>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</si>
  <si>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</si>
  <si>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</si>
  <si>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</si>
  <si>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</si>
  <si>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</si>
  <si>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</si>
  <si>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</si>
  <si>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</si>
  <si>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</si>
  <si>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</si>
  <si>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</si>
  <si>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</si>
  <si>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</si>
  <si>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</si>
  <si>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</si>
  <si>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</si>
  <si>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</si>
  <si>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</si>
  <si>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</si>
  <si>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</si>
  <si>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</si>
  <si>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</si>
  <si>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</si>
  <si>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</si>
  <si>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</si>
  <si>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</si>
  <si>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</si>
  <si>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</si>
  <si>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</si>
  <si>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</si>
  <si>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</si>
  <si>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</si>
  <si>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</si>
  <si>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</si>
  <si>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</si>
  <si>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</si>
  <si>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</si>
  <si>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</si>
  <si>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</si>
  <si>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</si>
  <si>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</si>
  <si>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</si>
  <si>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</si>
  <si>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</si>
  <si>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</si>
  <si>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</si>
  <si>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</si>
  <si>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</si>
  <si>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</si>
  <si>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</si>
  <si>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</si>
  <si>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</si>
  <si>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</si>
  <si>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</si>
  <si>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</si>
  <si>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</si>
  <si>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</si>
  <si>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</si>
  <si>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</si>
  <si>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</si>
  <si>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</si>
  <si>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</si>
  <si>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</si>
  <si>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</si>
  <si>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</si>
  <si>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</si>
  <si>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</si>
  <si>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</si>
  <si>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</si>
  <si>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</si>
  <si>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</si>
  <si>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</si>
  <si>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</si>
  <si>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</si>
  <si>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</si>
  <si>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</si>
  <si>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</si>
  <si>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</si>
  <si>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</si>
  <si>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</si>
  <si>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</si>
  <si>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</si>
  <si>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</si>
  <si>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</si>
  <si>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</si>
  <si>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</si>
  <si>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</si>
  <si>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</si>
  <si>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</si>
  <si>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</si>
  <si>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</si>
  <si>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</si>
  <si>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</si>
  <si>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</si>
  <si>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</si>
  <si>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</si>
  <si>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</si>
  <si>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</si>
  <si>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</si>
  <si>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</si>
  <si>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</si>
  <si>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</si>
  <si>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</si>
  <si>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</si>
  <si>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</si>
  <si>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</si>
  <si>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</si>
  <si>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</si>
  <si>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</si>
  <si>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</si>
  <si>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</si>
  <si>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</si>
  <si>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</si>
  <si>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</si>
  <si>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</si>
  <si>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</si>
  <si>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</si>
  <si>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</si>
  <si>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</si>
  <si>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</si>
  <si>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</si>
  <si>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</si>
  <si>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</si>
  <si>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</si>
  <si>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</si>
  <si>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</si>
  <si>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</si>
  <si>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</si>
  <si>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</si>
  <si>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</si>
  <si>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</si>
  <si>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</si>
  <si>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</si>
  <si>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</si>
  <si>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</si>
  <si>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</si>
  <si>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</si>
  <si>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</si>
  <si>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</si>
  <si>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</si>
  <si>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</si>
  <si>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</si>
  <si>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</si>
  <si>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</si>
  <si>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</si>
  <si>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</si>
  <si>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</si>
  <si>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</si>
  <si>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</si>
  <si>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</si>
  <si>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</si>
  <si>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</si>
  <si>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</si>
  <si>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</si>
  <si>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</si>
  <si>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</si>
  <si>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</si>
  <si>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</si>
  <si>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</si>
  <si>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</si>
  <si>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</si>
  <si>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</si>
  <si>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</si>
  <si>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</si>
  <si>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</si>
  <si>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</si>
  <si>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</si>
  <si>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</si>
  <si>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</si>
  <si>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</si>
  <si>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</si>
  <si>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</si>
  <si>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</si>
  <si>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</si>
  <si>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</si>
  <si>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</si>
  <si>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</si>
  <si>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</si>
  <si>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</si>
  <si>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</si>
  <si>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</si>
  <si>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</si>
  <si>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</si>
  <si>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</si>
  <si>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</si>
  <si>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</si>
  <si>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</si>
  <si>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</si>
  <si>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</si>
  <si>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</si>
  <si>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</si>
  <si>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</si>
  <si>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</si>
  <si>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</si>
  <si>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</si>
  <si>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</si>
  <si>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</si>
  <si>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</si>
  <si>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</si>
  <si>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</si>
  <si>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</si>
  <si>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</si>
  <si>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</si>
  <si>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</si>
  <si>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</si>
  <si>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</si>
  <si>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</si>
  <si>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</si>
  <si>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</si>
  <si>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</si>
  <si>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</si>
  <si>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</si>
  <si>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</si>
  <si>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</si>
  <si>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</si>
  <si>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</si>
  <si>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</si>
  <si>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</si>
  <si>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</si>
  <si>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</si>
  <si>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</si>
  <si>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</si>
  <si>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</si>
  <si>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</si>
  <si>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</si>
  <si>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</si>
  <si>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</si>
  <si>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</si>
  <si>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</si>
  <si>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</si>
  <si>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</si>
  <si>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</si>
  <si>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</si>
  <si>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</si>
  <si>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</si>
  <si>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</si>
  <si>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</si>
  <si>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</si>
  <si>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</si>
  <si>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</si>
  <si>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</si>
  <si>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</si>
  <si>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</si>
  <si>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</si>
  <si>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</si>
  <si>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</si>
  <si>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</si>
  <si>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</si>
  <si>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</si>
  <si>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</si>
  <si>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</si>
  <si>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</si>
  <si>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</si>
  <si>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</si>
  <si>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</si>
  <si>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</si>
  <si>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</si>
  <si>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</si>
  <si>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</si>
  <si>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</si>
  <si>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</si>
  <si>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</si>
  <si>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</si>
  <si>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</si>
  <si>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</si>
  <si>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</si>
  <si>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</si>
  <si>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</si>
  <si>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</si>
  <si>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</si>
  <si>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</si>
  <si>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</si>
  <si>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</si>
  <si>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</si>
  <si>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</si>
  <si>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</si>
  <si>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</si>
  <si>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</si>
  <si>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</si>
  <si>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</si>
  <si>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</si>
  <si>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</si>
  <si>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</si>
  <si>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</si>
  <si>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</si>
  <si>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</si>
  <si>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</si>
  <si>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</si>
  <si>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</si>
  <si>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</si>
  <si>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</si>
  <si>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</si>
  <si>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</si>
  <si>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</si>
  <si>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</si>
  <si>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</si>
  <si>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</si>
  <si>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</si>
  <si>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</si>
  <si>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</si>
  <si>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</si>
  <si>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</si>
  <si>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</si>
  <si>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</si>
  <si>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</si>
  <si>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</si>
  <si>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</si>
  <si>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</si>
  <si>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</si>
  <si>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</si>
  <si>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</si>
  <si>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</si>
  <si>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</si>
  <si>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</si>
  <si>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</si>
  <si>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</si>
  <si>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</si>
  <si>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</si>
  <si>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</si>
  <si>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</si>
  <si>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</si>
  <si>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</si>
  <si>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</si>
  <si>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</si>
  <si>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</si>
  <si>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</si>
  <si>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</si>
  <si>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</si>
  <si>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</si>
  <si>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</si>
  <si>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</si>
  <si>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</si>
  <si>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</si>
  <si>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</si>
  <si>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</si>
  <si>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</si>
  <si>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</si>
  <si>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</si>
  <si>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</si>
  <si>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</si>
  <si>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</si>
  <si>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</si>
  <si>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</si>
  <si>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</si>
  <si>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</si>
  <si>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</si>
  <si>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</si>
  <si>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</si>
  <si>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</si>
  <si>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</si>
  <si>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</si>
  <si>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</si>
  <si>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</si>
  <si>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</si>
  <si>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</si>
  <si>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</si>
  <si>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</si>
  <si>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</si>
  <si>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</si>
  <si>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</si>
  <si>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</si>
  <si>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</si>
  <si>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</si>
  <si>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</si>
  <si>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</si>
  <si>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</si>
  <si>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</si>
  <si>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</si>
  <si>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</si>
  <si>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</si>
  <si>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</si>
  <si>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</si>
  <si>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</si>
  <si>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</si>
  <si>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</si>
  <si>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</si>
  <si>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</si>
  <si>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</si>
  <si>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</si>
  <si>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</si>
  <si>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</si>
  <si>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</si>
  <si>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</si>
  <si>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</si>
  <si>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</si>
  <si>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</si>
  <si>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</si>
  <si>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</si>
  <si>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</si>
  <si>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</si>
  <si>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</si>
  <si>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</si>
  <si>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</si>
  <si>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</si>
  <si>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</si>
  <si>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</si>
  <si>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</si>
  <si>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</si>
  <si>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</si>
  <si>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</si>
  <si>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</si>
  <si>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</si>
  <si>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</si>
  <si>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</si>
  <si>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</si>
  <si>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</si>
  <si>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</si>
  <si>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</si>
  <si>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</si>
  <si>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</si>
  <si>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</si>
  <si>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</si>
  <si>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</si>
  <si>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</si>
  <si>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</si>
  <si>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</si>
  <si>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</si>
  <si>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</si>
  <si>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</si>
  <si>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</si>
  <si>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</si>
  <si>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</si>
  <si>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</si>
  <si>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</si>
  <si>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</si>
  <si>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</si>
  <si>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</si>
  <si>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</si>
  <si>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</si>
  <si>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</si>
  <si>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</si>
  <si>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</si>
  <si>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</si>
  <si>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</si>
  <si>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</si>
  <si>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</si>
  <si>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</si>
  <si>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</si>
  <si>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</si>
  <si>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</si>
  <si>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</si>
  <si>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</si>
  <si>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</si>
  <si>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</si>
  <si>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</si>
  <si>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</si>
  <si>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</si>
  <si>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</si>
  <si>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</si>
  <si>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</si>
  <si>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</si>
  <si>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</si>
  <si>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</si>
  <si>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</si>
  <si>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</si>
  <si>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</si>
  <si>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</si>
  <si>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</si>
  <si>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</si>
  <si>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</si>
  <si>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</si>
  <si>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</si>
  <si>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</si>
  <si>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</si>
  <si>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</si>
  <si>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</si>
  <si>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</si>
  <si>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</si>
  <si>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</si>
  <si>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</si>
  <si>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</si>
  <si>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</si>
  <si>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</si>
  <si>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</si>
  <si>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</si>
  <si>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</si>
  <si>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</si>
  <si>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</si>
  <si>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</si>
  <si>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</si>
  <si>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</si>
  <si>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</si>
  <si>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</si>
  <si>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</si>
  <si>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</si>
  <si>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</si>
  <si>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</si>
  <si>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</si>
  <si>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</si>
  <si>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</si>
  <si>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</si>
  <si>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</si>
  <si>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</si>
  <si>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</si>
  <si>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</si>
  <si>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</si>
  <si>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</si>
  <si>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</si>
  <si>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</si>
  <si>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</si>
  <si>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</si>
  <si>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</si>
  <si>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</si>
  <si>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</si>
  <si>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</si>
  <si>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</si>
  <si>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</si>
  <si>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</si>
  <si>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</si>
  <si>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</si>
  <si>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</si>
  <si>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</si>
  <si>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</si>
  <si>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</si>
  <si>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</si>
  <si>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</si>
  <si>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</si>
  <si>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</si>
  <si>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</si>
  <si>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</si>
  <si>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</si>
  <si>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</si>
  <si>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</si>
  <si>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</si>
  <si>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</si>
  <si>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</si>
  <si>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</si>
  <si>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</si>
  <si>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</si>
  <si>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</si>
  <si>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</si>
  <si>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</si>
  <si>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</si>
  <si>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</si>
  <si>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</si>
  <si>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</si>
  <si>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</si>
  <si>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</si>
  <si>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</si>
  <si>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</si>
  <si>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</si>
  <si>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</si>
  <si>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</si>
  <si>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</si>
  <si>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</si>
  <si>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</si>
  <si>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</si>
  <si>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</si>
  <si>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</si>
  <si>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</si>
  <si>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</si>
  <si>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</si>
  <si>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</si>
  <si>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</si>
  <si>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</si>
  <si>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</si>
  <si>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</si>
  <si>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</si>
  <si>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</si>
  <si>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</si>
  <si>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</si>
  <si>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</si>
  <si>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</si>
  <si>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</si>
  <si>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</si>
  <si>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</si>
  <si>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</si>
  <si>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</si>
  <si>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</si>
  <si>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</si>
  <si>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</si>
  <si>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</si>
  <si>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</si>
  <si>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</si>
  <si>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</si>
  <si>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</si>
  <si>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</si>
  <si>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</si>
  <si>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</si>
  <si>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</si>
  <si>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</si>
  <si>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</si>
  <si>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</si>
  <si>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</si>
  <si>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</si>
  <si>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</si>
  <si>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</si>
  <si>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</si>
  <si>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</si>
  <si>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</si>
  <si>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</si>
  <si>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</si>
  <si>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</si>
  <si>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</si>
  <si>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</si>
  <si>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</si>
  <si>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</si>
  <si>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</si>
  <si>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</si>
  <si>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</si>
  <si>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</si>
  <si>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</si>
  <si>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</si>
  <si>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</si>
  <si>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</si>
  <si>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</si>
  <si>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</si>
  <si>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</si>
  <si>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</si>
  <si>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</si>
  <si>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</si>
  <si>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</si>
  <si>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</si>
  <si>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</si>
  <si>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</si>
  <si>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</si>
  <si>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</si>
  <si>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</si>
  <si>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</si>
  <si>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</si>
  <si>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</si>
  <si>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</si>
  <si>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</si>
  <si>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</si>
  <si>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</si>
  <si>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</si>
  <si>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</si>
  <si>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</si>
  <si>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</si>
  <si>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</si>
  <si>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</si>
  <si>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</si>
  <si>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</si>
  <si>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</si>
  <si>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</si>
  <si>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</si>
  <si>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</si>
  <si>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</si>
  <si>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</si>
  <si>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</si>
  <si>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</si>
  <si>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</si>
  <si>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</si>
  <si>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</si>
  <si>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</si>
  <si>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</si>
  <si>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</si>
  <si>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</si>
  <si>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</si>
  <si>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</si>
  <si>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</si>
  <si>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</si>
  <si>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</si>
  <si>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</si>
  <si>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</si>
  <si>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</si>
  <si>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</si>
  <si>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</si>
  <si>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</si>
  <si>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</si>
  <si>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</si>
  <si>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</si>
  <si>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</si>
  <si>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</si>
  <si>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</si>
  <si>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</si>
  <si>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</si>
  <si>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</si>
  <si>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</si>
  <si>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</si>
  <si>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</si>
  <si>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</si>
  <si>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</si>
  <si>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</si>
  <si>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</si>
  <si>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</si>
  <si>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</si>
  <si>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</si>
  <si>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</si>
  <si>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</si>
  <si>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</si>
  <si>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</si>
  <si>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</si>
  <si>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</si>
  <si>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</si>
  <si>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</si>
  <si>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</si>
  <si>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</si>
  <si>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</si>
  <si>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</si>
  <si>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</si>
  <si>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</si>
  <si>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</si>
  <si>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</si>
  <si>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</si>
  <si>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</si>
  <si>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</si>
  <si>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</si>
  <si>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</si>
  <si>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</si>
  <si>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</si>
  <si>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</si>
  <si>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</si>
  <si>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</si>
  <si>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</si>
  <si>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</si>
  <si>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</si>
  <si>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</si>
  <si>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</si>
  <si>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</si>
  <si>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</si>
  <si>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</si>
  <si>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</si>
  <si>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</si>
  <si>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</si>
  <si>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</si>
  <si>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</si>
  <si>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</si>
  <si>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</si>
  <si>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</si>
  <si>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</si>
  <si>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</si>
  <si>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</si>
  <si>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</si>
  <si>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</si>
  <si>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</si>
  <si>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</si>
  <si>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</si>
  <si>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</si>
  <si>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</si>
  <si>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</si>
  <si>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</si>
  <si>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</si>
  <si>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</si>
  <si>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</si>
  <si>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</si>
  <si>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</si>
  <si>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</si>
  <si>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</si>
  <si>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</si>
  <si>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</si>
  <si>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</si>
  <si>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</si>
  <si>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</si>
  <si>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</si>
  <si>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</si>
  <si>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</si>
  <si>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</si>
  <si>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</si>
  <si>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</si>
  <si>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</si>
  <si>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</si>
  <si>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</si>
  <si>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</si>
  <si>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</si>
  <si>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</si>
  <si>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</si>
  <si>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</si>
  <si>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</si>
  <si>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</si>
  <si>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</si>
  <si>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</si>
  <si>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</si>
  <si>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</si>
  <si>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</si>
  <si>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</si>
  <si>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</si>
  <si>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</si>
  <si>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</si>
  <si>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</si>
  <si>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</si>
  <si>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</si>
  <si>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</si>
  <si>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</si>
  <si>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</si>
  <si>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</si>
  <si>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</si>
  <si>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</si>
  <si>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</si>
  <si>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</si>
  <si>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</si>
  <si>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</si>
  <si>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</si>
  <si>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</si>
  <si>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</si>
  <si>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</si>
  <si>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</si>
  <si>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</si>
  <si>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</si>
  <si>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</si>
  <si>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</si>
  <si>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</si>
  <si>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</si>
  <si>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</si>
  <si>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</si>
  <si>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</si>
  <si>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</si>
  <si>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</si>
  <si>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</si>
  <si>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</si>
  <si>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</si>
  <si>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</si>
  <si>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</si>
  <si>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</si>
  <si>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</si>
  <si>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</si>
  <si>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</si>
  <si>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</si>
  <si>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</si>
  <si>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</si>
  <si>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</si>
  <si>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</si>
  <si>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</si>
  <si>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</si>
  <si>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</si>
  <si>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</si>
  <si>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</si>
  <si>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</si>
  <si>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</si>
  <si>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</si>
  <si>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</si>
  <si>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</si>
  <si>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</si>
  <si>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</si>
  <si>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</si>
  <si>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</si>
  <si>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</si>
  <si>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</si>
  <si>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</si>
  <si>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</si>
  <si>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</si>
  <si>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</si>
  <si>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</si>
  <si>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</si>
  <si>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</si>
  <si>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</si>
  <si>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</si>
  <si>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</si>
  <si>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</si>
  <si>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</si>
  <si>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</si>
  <si>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</si>
  <si>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</si>
  <si>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</si>
  <si>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</si>
  <si>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</si>
  <si>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</si>
  <si>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</si>
  <si>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</si>
  <si>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</si>
  <si>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</si>
  <si>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</si>
  <si>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</si>
  <si>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</si>
  <si>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</si>
  <si>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</si>
  <si>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</si>
  <si>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</si>
  <si>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</si>
  <si>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</si>
  <si>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</si>
  <si>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</si>
  <si>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</si>
  <si>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</si>
  <si>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</si>
  <si>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</si>
  <si>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</si>
  <si>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</si>
  <si>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</si>
  <si>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</si>
  <si>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</si>
  <si>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</si>
  <si>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</si>
  <si>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</si>
  <si>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</si>
  <si>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</si>
  <si>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</si>
  <si>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</si>
  <si>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</si>
  <si>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</si>
  <si>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</si>
  <si>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</si>
  <si>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</si>
  <si>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</si>
  <si>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</si>
  <si>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</si>
  <si>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</si>
  <si>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</si>
  <si>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</si>
  <si>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</si>
  <si>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</si>
  <si>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</si>
  <si>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</si>
  <si>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</si>
  <si>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</si>
  <si>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</si>
  <si>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</si>
  <si>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</si>
  <si>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</si>
  <si>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</si>
  <si>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</si>
  <si>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</si>
  <si>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</si>
  <si>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</si>
  <si>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</si>
  <si>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</si>
  <si>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</si>
  <si>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</si>
  <si>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</si>
  <si>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</si>
  <si>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</si>
  <si>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</si>
  <si>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</si>
  <si>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</si>
  <si>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</si>
  <si>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</si>
  <si>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</si>
  <si>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</si>
  <si>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</si>
  <si>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</si>
  <si>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</si>
  <si>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</si>
  <si>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</si>
  <si>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</si>
  <si>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</si>
  <si>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</si>
  <si>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</si>
  <si>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</si>
  <si>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</si>
  <si>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</si>
  <si>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</si>
  <si>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</si>
  <si>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</si>
  <si>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</si>
  <si>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</si>
  <si>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</si>
  <si>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</si>
  <si>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</si>
  <si>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</si>
  <si>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</si>
  <si>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</si>
  <si>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</si>
  <si>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</si>
  <si>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</si>
  <si>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</si>
  <si>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</si>
  <si>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</si>
  <si>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</si>
  <si>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</si>
  <si>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</si>
  <si>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</si>
  <si>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</si>
  <si>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</si>
  <si>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</si>
  <si>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</si>
  <si>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</si>
  <si>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</si>
  <si>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</si>
  <si>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</si>
  <si>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</si>
  <si>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</si>
  <si>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</si>
  <si>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</si>
  <si>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</si>
  <si>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</si>
  <si>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</si>
  <si>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</si>
  <si>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</si>
  <si>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</si>
  <si>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</si>
  <si>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</si>
  <si>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</si>
  <si>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</si>
  <si>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</si>
  <si>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</si>
  <si>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</si>
  <si>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</si>
  <si>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</si>
  <si>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</si>
  <si>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</si>
  <si>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</si>
  <si>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</si>
  <si>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</si>
  <si>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</si>
  <si>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</si>
  <si>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</si>
  <si>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</si>
  <si>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</si>
  <si>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</si>
  <si>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</si>
  <si>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</si>
  <si>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</si>
  <si>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</si>
  <si>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</si>
  <si>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</si>
  <si>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</si>
  <si>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</si>
  <si>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</si>
  <si>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</si>
  <si>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</si>
  <si>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</si>
  <si>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</si>
  <si>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</si>
  <si>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</si>
  <si>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</si>
  <si>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</si>
  <si>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</si>
  <si>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</si>
  <si>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</si>
  <si>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</si>
  <si>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</si>
  <si>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</si>
  <si>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</si>
  <si>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</si>
  <si>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</si>
  <si>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</si>
  <si>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</si>
  <si>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</si>
  <si>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</si>
  <si>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</si>
  <si>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</si>
  <si>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</si>
  <si>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</si>
  <si>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</si>
  <si>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</si>
  <si>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</si>
  <si>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</si>
  <si>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</si>
  <si>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</si>
  <si>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</si>
  <si>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</si>
  <si>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</si>
  <si>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</si>
  <si>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</si>
  <si>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</si>
  <si>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</si>
  <si>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</si>
  <si>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</si>
  <si>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</si>
  <si>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</si>
  <si>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</si>
  <si>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</si>
  <si>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</si>
  <si>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</si>
  <si>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</si>
  <si>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</si>
  <si>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</si>
  <si>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</si>
  <si>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</si>
  <si>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</si>
  <si>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</si>
  <si>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</si>
  <si>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</si>
  <si>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</si>
  <si>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</si>
  <si>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</si>
  <si>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</si>
  <si>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</si>
  <si>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</si>
  <si>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</si>
  <si>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</si>
  <si>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</si>
  <si>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</si>
  <si>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</si>
  <si>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</si>
  <si>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</si>
  <si>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</si>
  <si>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</si>
  <si>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</si>
  <si>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</si>
  <si>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</si>
  <si>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</si>
  <si>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</si>
  <si>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</si>
  <si>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</si>
  <si>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</si>
  <si>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</si>
  <si>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</si>
  <si>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</si>
  <si>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</si>
  <si>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</si>
  <si>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</si>
  <si>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</si>
  <si>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</si>
  <si>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</si>
  <si>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</si>
  <si>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</si>
  <si>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</si>
  <si>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</si>
  <si>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</si>
  <si>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</si>
  <si>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</si>
  <si>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</si>
  <si>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</si>
  <si>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</si>
  <si>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</si>
  <si>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</si>
  <si>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</si>
  <si>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</si>
  <si>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</si>
  <si>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</si>
  <si>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</si>
  <si>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</si>
  <si>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</si>
  <si>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</si>
  <si>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</si>
  <si>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</si>
  <si>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</si>
  <si>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</si>
  <si>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</si>
  <si>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</si>
  <si>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</si>
  <si>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</si>
  <si>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</si>
  <si>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</si>
  <si>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</si>
  <si>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</si>
  <si>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</si>
  <si>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</si>
  <si>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</si>
  <si>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</si>
  <si>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</si>
  <si>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</si>
  <si>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</si>
  <si>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</si>
  <si>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</si>
  <si>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</si>
  <si>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</si>
  <si>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</si>
  <si>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</si>
  <si>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</si>
  <si>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</si>
  <si>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</si>
  <si>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</si>
  <si>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</si>
  <si>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</si>
  <si>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</si>
  <si>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</si>
  <si>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</si>
  <si>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</si>
  <si>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</si>
  <si>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</si>
  <si>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</si>
  <si>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</si>
  <si>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</si>
  <si>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</si>
  <si>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</si>
  <si>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</si>
  <si>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</si>
  <si>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</si>
  <si>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</si>
  <si>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</si>
  <si>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</si>
  <si>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</si>
  <si>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</si>
  <si>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</si>
  <si>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</si>
  <si>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</si>
  <si>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</si>
  <si>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</si>
  <si>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</si>
  <si>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</si>
  <si>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</si>
  <si>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</si>
  <si>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</si>
  <si>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</si>
  <si>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</si>
  <si>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</si>
  <si>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</si>
  <si>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</si>
  <si>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</si>
  <si>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</si>
  <si>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</si>
  <si>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</si>
  <si>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</si>
  <si>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</si>
  <si>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</si>
  <si>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</si>
  <si>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</si>
  <si>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</si>
  <si>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</si>
  <si>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</si>
  <si>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</si>
  <si>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</si>
  <si>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</si>
  <si>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</si>
  <si>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</si>
  <si>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</si>
  <si>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</si>
  <si>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</si>
  <si>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</si>
  <si>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</si>
  <si>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</si>
  <si>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</si>
  <si>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</si>
  <si>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</si>
  <si>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</si>
  <si>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</si>
  <si>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</si>
  <si>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</si>
  <si>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</si>
  <si>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</si>
  <si>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</si>
  <si>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</si>
  <si>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</si>
  <si>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</si>
  <si>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</si>
  <si>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</si>
  <si>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</si>
  <si>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</si>
  <si>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</si>
  <si>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</si>
  <si>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</si>
  <si>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</si>
  <si>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</si>
  <si>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</si>
  <si>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</si>
  <si>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</si>
  <si>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</si>
  <si>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</si>
  <si>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</si>
  <si>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</si>
  <si>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</si>
  <si>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</si>
  <si>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</si>
  <si>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</si>
  <si>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</si>
  <si>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</si>
  <si>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</si>
  <si>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</si>
  <si>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</si>
  <si>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</si>
  <si>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</si>
  <si>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</si>
  <si>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</si>
  <si>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</si>
  <si>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</si>
  <si>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</si>
  <si>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</si>
  <si>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</si>
  <si>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</si>
  <si>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</si>
  <si>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</si>
  <si>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</si>
  <si>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</si>
  <si>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</si>
  <si>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</si>
  <si>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</si>
  <si>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</si>
  <si>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</si>
  <si>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</si>
  <si>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</si>
  <si>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</si>
  <si>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</si>
  <si>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</si>
  <si>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</si>
  <si>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</si>
  <si>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</si>
  <si>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</si>
  <si>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</si>
  <si>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</si>
  <si>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</si>
  <si>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</si>
  <si>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</si>
  <si>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</si>
  <si>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</si>
  <si>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</si>
  <si>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</si>
  <si>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</si>
  <si>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</si>
  <si>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</si>
  <si>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</si>
  <si>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</si>
  <si>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</si>
  <si>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</si>
  <si>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</si>
  <si>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</si>
  <si>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</si>
  <si>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</si>
  <si>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</si>
  <si>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</si>
  <si>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</si>
  <si>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</si>
  <si>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</si>
  <si>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</si>
  <si>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</si>
  <si>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</si>
  <si>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</si>
  <si>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</si>
  <si>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</si>
  <si>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</si>
  <si>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</si>
  <si>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</si>
  <si>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</si>
  <si>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</si>
  <si>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</si>
  <si>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</si>
  <si>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</si>
  <si>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</si>
  <si>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</si>
  <si>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</si>
  <si>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</si>
  <si>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</si>
  <si>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</si>
  <si>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</si>
  <si>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</si>
  <si>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</si>
  <si>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</si>
  <si>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</si>
  <si>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</si>
  <si>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</si>
  <si>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</si>
  <si>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</si>
  <si>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</si>
  <si>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</si>
  <si>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</si>
  <si>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</si>
  <si>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</si>
  <si>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</si>
  <si>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</si>
  <si>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</si>
  <si>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</si>
  <si>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</si>
  <si>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</si>
  <si>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</si>
  <si>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</si>
  <si>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</si>
  <si>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</si>
  <si>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</si>
  <si>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</si>
  <si>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</si>
  <si>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</si>
  <si>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</si>
  <si>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</si>
  <si>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</si>
  <si>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</si>
  <si>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</si>
  <si>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</si>
  <si>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</si>
  <si>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</si>
  <si>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</si>
  <si>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</si>
  <si>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</si>
  <si>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</si>
  <si>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</si>
  <si>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</si>
  <si>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</si>
  <si>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</si>
  <si>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</si>
  <si>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</si>
  <si>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</si>
  <si>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</si>
  <si>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</si>
  <si>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</si>
  <si>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</si>
  <si>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</si>
  <si>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</si>
  <si>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</si>
  <si>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</si>
  <si>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</si>
  <si>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</si>
  <si>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</si>
  <si>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</si>
  <si>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</si>
  <si>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</si>
  <si>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</si>
  <si>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</si>
  <si>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</si>
  <si>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</si>
  <si>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</si>
  <si>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</si>
  <si>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</si>
  <si>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</si>
  <si>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</si>
  <si>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</si>
  <si>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</si>
  <si>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</si>
  <si>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</si>
  <si>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</si>
  <si>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</si>
  <si>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</si>
  <si>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</si>
  <si>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</si>
  <si>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</si>
  <si>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</si>
  <si>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</si>
  <si>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</si>
  <si>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</si>
  <si>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</si>
  <si>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</si>
  <si>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</si>
  <si>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</si>
  <si>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</si>
  <si>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</si>
  <si>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</si>
  <si>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</si>
  <si>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</si>
  <si>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</si>
  <si>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</si>
  <si>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</si>
  <si>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</si>
  <si>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</si>
  <si>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</si>
  <si>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</si>
  <si>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</si>
  <si>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</si>
  <si>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</si>
  <si>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</si>
  <si>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</si>
  <si>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</si>
  <si>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</si>
  <si>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</si>
  <si>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</si>
  <si>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</si>
  <si>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</si>
  <si>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</si>
  <si>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</si>
  <si>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</si>
  <si>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</si>
  <si>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</si>
  <si>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</si>
  <si>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</si>
  <si>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</si>
  <si>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</si>
  <si>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</si>
  <si>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</si>
  <si>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</si>
  <si>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</si>
  <si>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</si>
  <si>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</si>
  <si>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</si>
  <si>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</si>
  <si>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</si>
  <si>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</si>
  <si>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</si>
  <si>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</si>
  <si>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</si>
  <si>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</si>
  <si>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</si>
  <si>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</si>
  <si>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</si>
  <si>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</si>
  <si>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</si>
  <si>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</si>
  <si>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</si>
  <si>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</si>
  <si>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</si>
  <si>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</si>
  <si>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</si>
  <si>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</si>
  <si>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</si>
  <si>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</si>
  <si>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</si>
  <si>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</si>
  <si>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</si>
  <si>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</si>
  <si>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</si>
  <si>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</si>
  <si>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</si>
  <si>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</si>
  <si>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</si>
  <si>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</si>
  <si>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</si>
  <si>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</si>
  <si>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</si>
  <si>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</si>
  <si>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</si>
  <si>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</si>
  <si>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</si>
  <si>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</si>
  <si>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</si>
  <si>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</si>
  <si>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</si>
  <si>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</si>
  <si>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</si>
  <si>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</si>
  <si>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</si>
  <si>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</si>
  <si>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</si>
  <si>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</si>
  <si>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</si>
  <si>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</si>
  <si>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</si>
  <si>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</si>
  <si>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</si>
  <si>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</si>
  <si>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</si>
  <si>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</si>
  <si>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</si>
  <si>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</si>
  <si>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</si>
  <si>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</si>
  <si>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</si>
  <si>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</si>
  <si>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</si>
  <si>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</si>
  <si>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</si>
  <si>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</si>
  <si>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</si>
  <si>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</si>
  <si>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</si>
  <si>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</si>
  <si>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</si>
  <si>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</si>
  <si>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</si>
  <si>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</si>
  <si>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</si>
  <si>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</si>
  <si>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</si>
  <si>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</si>
  <si>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</si>
  <si>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</si>
  <si>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</si>
  <si>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</si>
  <si>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</si>
  <si>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</si>
  <si>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</si>
  <si>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</si>
  <si>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</si>
  <si>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</si>
  <si>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</si>
  <si>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</si>
  <si>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</si>
  <si>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</si>
  <si>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</si>
  <si>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</si>
  <si>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</si>
  <si>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</si>
  <si>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</si>
  <si>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</si>
  <si>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</si>
  <si>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</si>
  <si>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</si>
  <si>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</si>
  <si>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</si>
  <si>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</si>
  <si>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</si>
  <si>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</si>
  <si>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</si>
  <si>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</si>
  <si>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</si>
  <si>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</si>
  <si>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</si>
  <si>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</si>
  <si>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</si>
  <si>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</si>
  <si>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</si>
  <si>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</si>
  <si>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</si>
  <si>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</si>
  <si>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</si>
  <si>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</si>
  <si>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</si>
  <si>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</si>
  <si>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</si>
  <si>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</si>
  <si>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</si>
  <si>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</si>
  <si>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</si>
  <si>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</si>
  <si>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</si>
  <si>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</si>
  <si>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</si>
  <si>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</si>
  <si>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</si>
  <si>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</si>
  <si>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</si>
  <si>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</si>
  <si>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</si>
  <si>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</si>
  <si>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</si>
  <si>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</si>
  <si>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</si>
  <si>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</si>
  <si>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</si>
  <si>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</si>
  <si>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</si>
  <si>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</si>
  <si>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</si>
  <si>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</si>
  <si>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</si>
  <si>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</si>
  <si>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</si>
  <si>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</si>
  <si>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</si>
  <si>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</si>
  <si>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</si>
  <si>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</si>
  <si>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</si>
  <si>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</si>
  <si>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</si>
  <si>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</si>
  <si>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</si>
  <si>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</si>
  <si>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</si>
  <si>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</si>
  <si>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</si>
  <si>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</si>
  <si>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</si>
  <si>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</si>
  <si>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</si>
  <si>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</si>
  <si>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</si>
  <si>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</si>
  <si>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</si>
  <si>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</si>
  <si>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</si>
  <si>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</si>
  <si>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</si>
  <si>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</si>
  <si>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</si>
  <si>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</si>
  <si>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</si>
  <si>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</si>
  <si>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</si>
  <si>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</si>
  <si>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</si>
  <si>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</si>
  <si>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</si>
  <si>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</si>
  <si>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</si>
  <si>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</si>
  <si>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</si>
  <si>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</si>
  <si>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</si>
  <si>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</si>
  <si>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</si>
  <si>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</si>
  <si>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</si>
  <si>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</si>
  <si>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</si>
  <si>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</si>
  <si>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</si>
  <si>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</si>
  <si>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</si>
  <si>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</si>
  <si>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</si>
  <si>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</si>
  <si>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</si>
  <si>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</si>
  <si>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</si>
  <si>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</si>
  <si>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</si>
  <si>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</si>
  <si>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</si>
  <si>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</si>
  <si>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</si>
  <si>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</si>
  <si>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</si>
  <si>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</si>
  <si>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</si>
  <si>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</si>
  <si>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</si>
  <si>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</si>
  <si>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</si>
  <si>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</si>
  <si>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</si>
  <si>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</si>
  <si>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</si>
  <si>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</si>
  <si>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</si>
  <si>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</si>
  <si>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</si>
  <si>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</si>
  <si>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</si>
  <si>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</si>
  <si>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</si>
  <si>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</si>
  <si>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</si>
  <si>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</si>
  <si>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</si>
  <si>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</si>
  <si>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</si>
  <si>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</si>
  <si>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</si>
  <si>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</si>
  <si>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</si>
  <si>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</si>
  <si>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</si>
  <si>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</si>
  <si>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</si>
  <si>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</si>
  <si>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</si>
  <si>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</si>
  <si>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</si>
  <si>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</si>
  <si>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</si>
  <si>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</si>
  <si>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</si>
  <si>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</si>
  <si>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</si>
  <si>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</si>
  <si>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</si>
  <si>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</si>
  <si>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</si>
  <si>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</si>
  <si>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</si>
  <si>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</si>
  <si>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</si>
  <si>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</si>
  <si>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</si>
  <si>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</si>
  <si>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</si>
  <si>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</si>
  <si>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</si>
  <si>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</si>
  <si>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</si>
  <si>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</si>
  <si>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</si>
  <si>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</si>
  <si>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</si>
  <si>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</si>
  <si>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</si>
  <si>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</si>
  <si>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</si>
  <si>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</si>
  <si>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</si>
  <si>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</si>
  <si>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</si>
  <si>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</si>
  <si>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</si>
  <si>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</si>
  <si>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</si>
  <si>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</si>
  <si>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</si>
  <si>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</si>
  <si>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</si>
  <si>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</si>
  <si>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</si>
  <si>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</si>
  <si>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</si>
  <si>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</si>
  <si>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</si>
  <si>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</si>
  <si>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</si>
  <si>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</si>
  <si>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</si>
  <si>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</si>
  <si>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</si>
  <si>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</si>
  <si>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</si>
  <si>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</si>
  <si>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</si>
  <si>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</si>
  <si>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</si>
  <si>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</si>
  <si>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</si>
  <si>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</si>
  <si>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</si>
  <si>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</si>
  <si>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</si>
  <si>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</si>
  <si>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</si>
  <si>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</si>
  <si>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</si>
  <si>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</si>
  <si>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</si>
  <si>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</si>
  <si>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</si>
  <si>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</si>
  <si>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</si>
  <si>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</si>
  <si>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</si>
  <si>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</si>
  <si>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</si>
  <si>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</si>
  <si>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</si>
  <si>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</si>
  <si>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</si>
  <si>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</si>
  <si>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</si>
  <si>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</si>
  <si>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</si>
  <si>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</si>
  <si>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</si>
  <si>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</si>
  <si>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</si>
  <si>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</si>
  <si>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</si>
  <si>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</si>
  <si>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</si>
  <si>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</si>
  <si>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</si>
  <si>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</si>
  <si>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</si>
  <si>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</si>
  <si>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</si>
  <si>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</si>
  <si>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</si>
  <si>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</si>
  <si>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</si>
  <si>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</si>
  <si>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</si>
  <si>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</si>
  <si>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</si>
  <si>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</si>
  <si>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</si>
  <si>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</si>
  <si>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</si>
  <si>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</si>
  <si>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</si>
  <si>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</si>
  <si>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</si>
  <si>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</si>
  <si>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</si>
  <si>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</si>
  <si>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</si>
  <si>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</si>
  <si>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</si>
  <si>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</si>
  <si>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</si>
  <si>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</si>
  <si>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</si>
  <si>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</si>
  <si>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</si>
  <si>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</si>
  <si>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</si>
  <si>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</si>
  <si>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</si>
  <si>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</si>
  <si>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</si>
  <si>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</si>
  <si>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</si>
  <si>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</si>
  <si>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</si>
  <si>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</si>
  <si>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</si>
  <si>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</si>
  <si>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</si>
  <si>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</si>
  <si>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</si>
  <si>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</si>
  <si>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</si>
  <si>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</si>
  <si>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</si>
  <si>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</si>
  <si>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</si>
  <si>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</si>
  <si>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</si>
  <si>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</si>
  <si>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</si>
  <si>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</si>
  <si>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</si>
  <si>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</si>
  <si>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</si>
  <si>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</si>
  <si>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</si>
  <si>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</si>
  <si>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</si>
  <si>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</si>
  <si>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</si>
  <si>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</si>
  <si>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</si>
  <si>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</si>
  <si>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</si>
  <si>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</si>
  <si>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</si>
  <si>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</si>
  <si>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</si>
  <si>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</si>
  <si>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</si>
  <si>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</si>
  <si>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</si>
  <si>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</si>
  <si>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</si>
  <si>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</si>
  <si>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</si>
  <si>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</si>
  <si>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</si>
  <si>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</si>
  <si>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</si>
  <si>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</si>
  <si>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</si>
  <si>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</si>
  <si>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</si>
  <si>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</si>
  <si>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</si>
  <si>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</si>
  <si>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</si>
  <si>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</si>
  <si>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</si>
  <si>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</si>
  <si>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</si>
  <si>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</si>
  <si>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</si>
  <si>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</si>
  <si>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</si>
  <si>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</si>
  <si>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</si>
  <si>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</si>
  <si>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</si>
  <si>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</si>
  <si>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</si>
  <si>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</si>
  <si>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</si>
  <si>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</si>
  <si>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</si>
  <si>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</si>
  <si>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</si>
  <si>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</si>
  <si>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</si>
  <si>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</si>
  <si>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</si>
  <si>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</si>
  <si>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</si>
  <si>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</si>
  <si>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</si>
  <si>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</si>
  <si>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</si>
  <si>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</si>
  <si>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</si>
  <si>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</si>
  <si>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</si>
  <si>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</si>
  <si>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</si>
  <si>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</si>
  <si>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</si>
  <si>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</si>
  <si>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</si>
  <si>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</si>
  <si>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</si>
  <si>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</si>
  <si>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</si>
  <si>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</si>
  <si>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</si>
  <si>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</si>
  <si>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</si>
  <si>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</si>
  <si>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</si>
  <si>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</si>
  <si>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</si>
  <si>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</si>
  <si>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</si>
  <si>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</si>
  <si>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</si>
  <si>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</si>
  <si>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</si>
  <si>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</si>
  <si>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</si>
  <si>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</si>
  <si>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</si>
  <si>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</si>
  <si>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</si>
  <si>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</si>
  <si>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</si>
  <si>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</si>
  <si>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</si>
  <si>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</si>
  <si>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</si>
  <si>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</si>
  <si>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</si>
  <si>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</si>
  <si>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</si>
  <si>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</si>
  <si>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</si>
  <si>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</si>
  <si>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</si>
  <si>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</si>
  <si>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</si>
  <si>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</si>
  <si>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</si>
  <si>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</si>
  <si>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</si>
  <si>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</si>
  <si>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</si>
  <si>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</si>
  <si>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</si>
  <si>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</si>
  <si>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</si>
  <si>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</si>
  <si>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</si>
  <si>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</si>
  <si>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</si>
  <si>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</si>
  <si>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</si>
  <si>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</si>
  <si>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</si>
  <si>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</si>
  <si>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</si>
  <si>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</si>
  <si>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</si>
  <si>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</si>
  <si>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</si>
  <si>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</si>
  <si>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</si>
  <si>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</si>
  <si>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</si>
  <si>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</si>
  <si>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</si>
  <si>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</si>
  <si>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</si>
  <si>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</si>
  <si>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</si>
  <si>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</si>
  <si>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</si>
  <si>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</si>
  <si>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</si>
  <si>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</si>
  <si>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</si>
  <si>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</si>
  <si>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</si>
  <si>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</si>
  <si>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</si>
  <si>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</si>
  <si>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</si>
  <si>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</si>
  <si>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</si>
  <si>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</si>
  <si>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</si>
  <si>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</si>
  <si>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</si>
  <si>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</si>
  <si>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</si>
  <si>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</si>
  <si>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</si>
  <si>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</si>
  <si>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</si>
  <si>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</si>
  <si>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</si>
  <si>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</si>
  <si>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</si>
  <si>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</si>
  <si>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</si>
  <si>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</si>
  <si>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</si>
  <si>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</si>
  <si>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</si>
  <si>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</si>
  <si>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</si>
  <si>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</si>
  <si>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</si>
  <si>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</si>
  <si>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</si>
  <si>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</si>
  <si>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</si>
  <si>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</si>
  <si>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</si>
  <si>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</si>
  <si>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</si>
  <si>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</si>
  <si>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</si>
  <si>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</si>
  <si>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</si>
  <si>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</si>
  <si>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</si>
  <si>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</si>
  <si>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</si>
  <si>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</si>
  <si>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</si>
  <si>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</si>
  <si>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</si>
  <si>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</si>
  <si>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</si>
  <si>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</si>
  <si>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</si>
  <si>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</si>
  <si>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</si>
  <si>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</si>
  <si>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</si>
  <si>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</si>
  <si>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</si>
  <si>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</si>
  <si>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</si>
  <si>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</si>
  <si>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</si>
  <si>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</si>
  <si>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</si>
  <si>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</si>
  <si>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</si>
  <si>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</si>
  <si>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</si>
  <si>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</si>
  <si>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</si>
  <si>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</si>
  <si>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</si>
  <si>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</si>
  <si>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</si>
  <si>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</si>
  <si>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</si>
  <si>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</si>
  <si>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</si>
  <si>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</si>
  <si>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</si>
  <si>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</si>
  <si>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</si>
  <si>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</si>
  <si>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</si>
  <si>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</si>
  <si>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</si>
  <si>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</si>
  <si>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</si>
  <si>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</si>
  <si>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</si>
  <si>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</si>
  <si>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</si>
  <si>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</si>
  <si>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</si>
  <si>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</si>
  <si>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</si>
  <si>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</si>
  <si>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</si>
  <si>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</si>
  <si>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</si>
  <si>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</si>
  <si>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</si>
  <si>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</si>
  <si>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</si>
  <si>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</si>
  <si>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</si>
  <si>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</si>
  <si>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</si>
  <si>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</si>
  <si>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</si>
  <si>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</si>
  <si>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</si>
  <si>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</si>
  <si>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</si>
  <si>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</si>
  <si>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</si>
  <si>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</si>
  <si>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</si>
  <si>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</si>
  <si>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</si>
  <si>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</si>
  <si>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</si>
  <si>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</si>
  <si>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</si>
  <si>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</si>
  <si>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</si>
  <si>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</si>
  <si>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</si>
  <si>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</si>
  <si>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</si>
  <si>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</si>
  <si>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</si>
  <si>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</si>
  <si>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</si>
  <si>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</si>
  <si>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</si>
  <si>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</si>
  <si>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</si>
  <si>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</si>
  <si>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</si>
  <si>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</si>
  <si>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</si>
  <si>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</si>
  <si>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</si>
  <si>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</si>
  <si>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</si>
  <si>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</si>
  <si>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</si>
  <si>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</si>
  <si>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</si>
  <si>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</si>
  <si>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</si>
  <si>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</si>
  <si>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</si>
  <si>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</si>
  <si>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</si>
  <si>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</si>
  <si>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</si>
  <si>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</si>
  <si>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</si>
  <si>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</si>
  <si>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</si>
  <si>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</si>
  <si>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</si>
  <si>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</si>
  <si>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</si>
  <si>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</si>
  <si>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</si>
  <si>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</si>
  <si>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</si>
  <si>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</si>
  <si>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</si>
  <si>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</si>
  <si>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</si>
  <si>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</si>
  <si>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</si>
  <si>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</si>
  <si>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</si>
  <si>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</si>
  <si>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</si>
  <si>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</si>
  <si>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</si>
  <si>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</si>
  <si>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</si>
  <si>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</si>
  <si>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</si>
  <si>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</si>
  <si>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</si>
  <si>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</si>
  <si>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</si>
  <si>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</si>
  <si>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</si>
  <si>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</si>
  <si>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</si>
  <si>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</si>
  <si>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</si>
  <si>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</si>
  <si>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</si>
  <si>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</si>
  <si>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</si>
  <si>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</si>
  <si>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</si>
  <si>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</si>
  <si>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</si>
  <si>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</si>
  <si>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</si>
  <si>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</si>
  <si>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</si>
  <si>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</si>
  <si>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</si>
  <si>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</si>
  <si>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</si>
  <si>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</si>
  <si>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</si>
  <si>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</si>
  <si>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</si>
  <si>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</si>
  <si>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</si>
  <si>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</si>
  <si>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</si>
  <si>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</si>
  <si>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</si>
  <si>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</si>
  <si>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</si>
  <si>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</si>
  <si>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</si>
  <si>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</si>
  <si>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</si>
  <si>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</si>
  <si>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</si>
  <si>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</si>
  <si>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</si>
  <si>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</si>
  <si>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</si>
  <si>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</si>
  <si>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</si>
  <si>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</si>
  <si>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</si>
  <si>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</si>
  <si>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</si>
  <si>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</si>
  <si>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</si>
  <si>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</si>
  <si>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</si>
  <si>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</si>
  <si>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</si>
  <si>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</si>
  <si>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</si>
  <si>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</si>
  <si>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</si>
  <si>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</si>
  <si>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</si>
  <si>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</si>
  <si>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</si>
  <si>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</si>
  <si>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</si>
  <si>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</si>
  <si>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</si>
  <si>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</si>
  <si>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</si>
  <si>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</si>
  <si>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</si>
  <si>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</si>
  <si>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</si>
  <si>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</si>
  <si>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</si>
  <si>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</si>
  <si>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</si>
  <si>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</si>
  <si>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</si>
  <si>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</si>
  <si>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</si>
  <si>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</si>
  <si>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</si>
  <si>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</si>
  <si>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</si>
  <si>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</si>
  <si>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</si>
  <si>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</si>
  <si>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</si>
  <si>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</si>
  <si>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</si>
  <si>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</si>
  <si>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</si>
  <si>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</si>
  <si>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</si>
  <si>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</si>
  <si>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</si>
  <si>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</si>
  <si>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</si>
  <si>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</si>
  <si>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</si>
  <si>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</si>
  <si>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</si>
  <si>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</si>
  <si>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</si>
  <si>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</si>
  <si>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</si>
  <si>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</si>
  <si>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</si>
  <si>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</si>
  <si>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</si>
  <si>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</si>
  <si>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</si>
  <si>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</si>
  <si>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</si>
  <si>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</si>
  <si>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</si>
  <si>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</si>
  <si>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</si>
  <si>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</si>
  <si>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</si>
  <si>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</si>
  <si>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</si>
  <si>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</si>
  <si>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</si>
  <si>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</si>
  <si>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</si>
  <si>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</si>
  <si>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</si>
  <si>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</si>
  <si>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</si>
  <si>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</si>
  <si>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</si>
  <si>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</si>
  <si>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</si>
  <si>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</si>
  <si>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</si>
  <si>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</si>
  <si>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</si>
  <si>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</si>
  <si>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</si>
  <si>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</si>
  <si>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</si>
  <si>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</si>
  <si>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</si>
  <si>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</si>
  <si>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</si>
  <si>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</si>
  <si>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</si>
  <si>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</si>
  <si>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</si>
  <si>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</si>
  <si>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</si>
  <si>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</si>
  <si>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</si>
  <si>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</si>
  <si>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</si>
  <si>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</si>
  <si>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</si>
  <si>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</si>
  <si>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</si>
  <si>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</si>
  <si>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</si>
  <si>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</si>
  <si>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</si>
  <si>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</si>
  <si>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</si>
  <si>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</si>
  <si>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</si>
  <si>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</si>
  <si>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</si>
  <si>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</si>
  <si>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</si>
  <si>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</si>
  <si>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</si>
  <si>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</si>
  <si>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</si>
  <si>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</si>
  <si>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</si>
  <si>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</si>
  <si>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</si>
  <si>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</si>
  <si>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</si>
  <si>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</si>
  <si>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</si>
  <si>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</si>
  <si>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</si>
  <si>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</si>
  <si>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</si>
  <si>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</si>
  <si>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</si>
  <si>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</si>
  <si>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</si>
  <si>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</si>
  <si>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</si>
  <si>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</si>
  <si>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</si>
  <si>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</si>
  <si>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</si>
  <si>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</si>
  <si>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</si>
  <si>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</si>
  <si>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</si>
  <si>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</si>
  <si>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</si>
  <si>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</si>
  <si>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</si>
  <si>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</si>
  <si>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</si>
  <si>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</si>
  <si>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</si>
  <si>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</si>
  <si>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</si>
  <si>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</si>
  <si>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</si>
  <si>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</si>
  <si>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</si>
  <si>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</si>
  <si>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</si>
  <si>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</si>
  <si>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</si>
  <si>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</si>
  <si>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</si>
  <si>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</si>
  <si>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</si>
  <si>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</si>
  <si>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</si>
  <si>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</si>
  <si>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</si>
  <si>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</si>
  <si>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</si>
  <si>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</si>
  <si>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</si>
  <si>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</si>
  <si>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</si>
  <si>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</si>
  <si>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</si>
  <si>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</si>
  <si>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</si>
  <si>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</si>
  <si>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</si>
  <si>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</si>
  <si>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</si>
  <si>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</si>
  <si>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</si>
  <si>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</si>
  <si>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</si>
  <si>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</si>
  <si>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</si>
  <si>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</si>
  <si>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</si>
  <si>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</si>
  <si>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</si>
  <si>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</si>
  <si>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</si>
  <si>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</si>
  <si>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</si>
  <si>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</si>
  <si>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</si>
  <si>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</si>
  <si>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</si>
  <si>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</si>
  <si>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</si>
  <si>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</si>
  <si>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</si>
  <si>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</si>
  <si>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</si>
  <si>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</si>
  <si>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</si>
  <si>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</si>
  <si>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</si>
  <si>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</si>
  <si>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</si>
  <si>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</si>
  <si>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</si>
  <si>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</si>
  <si>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</si>
  <si>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</si>
  <si>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</si>
  <si>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</si>
  <si>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</si>
  <si>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</si>
  <si>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</si>
  <si>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</si>
  <si>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</si>
  <si>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</si>
  <si>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</si>
  <si>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</si>
  <si>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</si>
  <si>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</si>
  <si>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</si>
  <si>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</si>
  <si>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</si>
  <si>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</si>
  <si>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</si>
  <si>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</si>
  <si>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</si>
  <si>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</si>
  <si>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</si>
  <si>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</si>
  <si>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</si>
  <si>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</si>
  <si>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</si>
  <si>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</si>
  <si>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</si>
  <si>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</si>
  <si>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</si>
  <si>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</si>
  <si>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</si>
  <si>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</si>
  <si>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</si>
  <si>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</si>
  <si>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</si>
  <si>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</si>
  <si>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</si>
  <si>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</si>
  <si>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</si>
  <si>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</si>
  <si>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</si>
  <si>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</si>
  <si>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</si>
  <si>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</si>
  <si>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</si>
  <si>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</si>
  <si>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</si>
  <si>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</si>
  <si>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</si>
  <si>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</si>
  <si>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</si>
  <si>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</si>
  <si>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</si>
  <si>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</si>
  <si>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</si>
  <si>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</si>
  <si>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</si>
  <si>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</si>
  <si>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</si>
  <si>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</si>
  <si>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</si>
  <si>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</si>
  <si>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</si>
  <si>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</si>
  <si>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</si>
  <si>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</si>
  <si>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</si>
  <si>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</si>
  <si>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</si>
  <si>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</si>
  <si>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</si>
  <si>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</si>
  <si>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</si>
  <si>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</si>
  <si>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</si>
  <si>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</si>
  <si>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</si>
  <si>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</si>
  <si>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</si>
  <si>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</si>
  <si>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</si>
  <si>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</si>
  <si>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</si>
  <si>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</si>
  <si>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</si>
  <si>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</si>
  <si>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</si>
  <si>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</si>
  <si>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</si>
  <si>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</si>
  <si>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</si>
  <si>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</si>
  <si>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</si>
  <si>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</si>
  <si>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</si>
  <si>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</si>
  <si>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</si>
  <si>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</si>
  <si>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</si>
  <si>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</si>
  <si>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</si>
  <si>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</si>
  <si>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</si>
  <si>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</si>
  <si>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</si>
  <si>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</si>
  <si>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</si>
  <si>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</si>
  <si>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</si>
  <si>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</si>
  <si>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</si>
  <si>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</si>
  <si>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</si>
  <si>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</si>
  <si>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</si>
  <si>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</si>
  <si>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</si>
  <si>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</si>
  <si>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</si>
  <si>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</si>
  <si>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</si>
  <si>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</si>
  <si>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</si>
  <si>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</si>
  <si>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</si>
  <si>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</si>
  <si>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</si>
  <si>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</si>
  <si>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</si>
  <si>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</si>
  <si>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</si>
  <si>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</si>
  <si>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</si>
  <si>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</si>
  <si>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</si>
  <si>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</si>
  <si>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</si>
  <si>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</si>
  <si>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</si>
  <si>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</si>
  <si>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</si>
  <si>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</si>
  <si>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</si>
  <si>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</si>
  <si>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</si>
  <si>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</si>
  <si>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</si>
  <si>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</si>
  <si>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</si>
  <si>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</si>
  <si>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</si>
  <si>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</si>
  <si>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</si>
  <si>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</si>
  <si>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</si>
  <si>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</si>
  <si>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</si>
  <si>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</si>
  <si>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</si>
  <si>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</si>
  <si>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</si>
  <si>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</si>
  <si>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</si>
  <si>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</si>
  <si>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</si>
  <si>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</si>
  <si>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</si>
  <si>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</si>
  <si>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</si>
  <si>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</si>
  <si>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</si>
  <si>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</si>
  <si>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</si>
  <si>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</si>
  <si>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</si>
  <si>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</si>
  <si>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</si>
  <si>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</si>
  <si>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</si>
  <si>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</si>
  <si>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</si>
  <si>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</si>
  <si>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</si>
  <si>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</si>
  <si>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</si>
  <si>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</si>
  <si>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</si>
  <si>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</si>
  <si>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</si>
  <si>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</si>
  <si>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</si>
  <si>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</si>
  <si>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</si>
  <si>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</si>
  <si>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</si>
  <si>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</si>
  <si>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</si>
  <si>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</si>
  <si>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</si>
  <si>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</si>
  <si>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</si>
  <si>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</si>
  <si>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</si>
  <si>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</si>
  <si>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</si>
  <si>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</si>
  <si>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</si>
  <si>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</si>
  <si>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</si>
  <si>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</si>
  <si>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</si>
  <si>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</si>
  <si>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</si>
  <si>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</si>
  <si>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</si>
  <si>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</si>
  <si>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</si>
  <si>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</si>
  <si>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</si>
  <si>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</si>
  <si>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</si>
  <si>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</si>
  <si>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</si>
  <si>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</si>
  <si>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</si>
  <si>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</si>
  <si>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</si>
  <si>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</si>
  <si>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</si>
  <si>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</si>
  <si>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</si>
  <si>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</si>
  <si>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</si>
  <si>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</si>
  <si>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</si>
  <si>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</si>
  <si>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</si>
  <si>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</si>
  <si>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</si>
  <si>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</si>
  <si>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</si>
  <si>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</si>
  <si>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</si>
  <si>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</si>
  <si>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</si>
  <si>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</si>
  <si>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</si>
  <si>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</si>
  <si>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</si>
  <si>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</si>
  <si>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</si>
  <si>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</si>
  <si>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</si>
  <si>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</si>
  <si>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</si>
  <si>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</si>
  <si>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</si>
  <si>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</si>
  <si>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</si>
  <si>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</si>
  <si>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</si>
  <si>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</si>
  <si>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</si>
  <si>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</si>
  <si>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</si>
  <si>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</si>
  <si>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</si>
  <si>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</si>
  <si>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</si>
  <si>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</si>
  <si>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</si>
  <si>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</si>
  <si>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</si>
  <si>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</si>
  <si>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</si>
  <si>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</si>
  <si>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</si>
  <si>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</si>
  <si>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</si>
  <si>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</si>
  <si>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</si>
  <si>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</si>
  <si>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</si>
  <si>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</si>
  <si>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</si>
  <si>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</si>
  <si>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</si>
  <si>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</si>
  <si>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</si>
  <si>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</si>
  <si>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</si>
  <si>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</si>
  <si>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</si>
  <si>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</si>
  <si>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</si>
  <si>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</si>
  <si>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</si>
  <si>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</si>
  <si>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</si>
  <si>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</si>
  <si>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</si>
  <si>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</si>
  <si>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</si>
  <si>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</si>
  <si>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</si>
  <si>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</si>
  <si>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</si>
  <si>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</si>
  <si>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</si>
  <si>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</si>
  <si>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</si>
  <si>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</si>
  <si>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</si>
  <si>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</si>
  <si>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</si>
  <si>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</si>
  <si>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</si>
  <si>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</si>
  <si>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</si>
  <si>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</si>
  <si>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</si>
  <si>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</si>
  <si>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</si>
  <si>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</si>
  <si>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</si>
  <si>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</si>
  <si>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</si>
  <si>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</si>
  <si>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</si>
  <si>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</si>
  <si>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</si>
  <si>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</si>
  <si>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</si>
  <si>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</si>
  <si>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</si>
  <si>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</si>
  <si>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</si>
  <si>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</si>
  <si>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</si>
  <si>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</si>
  <si>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</si>
  <si>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</si>
  <si>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</si>
  <si>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</si>
  <si>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</si>
  <si>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</si>
  <si>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</si>
  <si>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</si>
  <si>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</si>
  <si>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</si>
  <si>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</si>
  <si>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</si>
  <si>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</si>
  <si>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</si>
  <si>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</si>
  <si>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</si>
  <si>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</si>
  <si>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</si>
  <si>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</si>
  <si>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</si>
  <si>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</si>
  <si>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</si>
  <si>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</si>
  <si>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</si>
  <si>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</si>
  <si>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</si>
  <si>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</si>
  <si>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</si>
  <si>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</si>
  <si>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</si>
  <si>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</si>
  <si>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</si>
  <si>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</si>
  <si>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</si>
  <si>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</si>
  <si>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</si>
  <si>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</si>
  <si>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</si>
  <si>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</si>
  <si>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</si>
  <si>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</si>
  <si>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</si>
  <si>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</si>
  <si>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</si>
  <si>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</si>
  <si>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</si>
  <si>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</si>
  <si>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</si>
  <si>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</si>
  <si>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</si>
  <si>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</si>
  <si>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</si>
  <si>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</si>
  <si>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</si>
  <si>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</si>
  <si>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</si>
  <si>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</si>
  <si>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</si>
  <si>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</si>
  <si>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</si>
  <si>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</si>
  <si>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</si>
  <si>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</si>
  <si>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</si>
  <si>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</si>
  <si>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</si>
  <si>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</si>
  <si>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</si>
  <si>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</si>
  <si>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</si>
  <si>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</si>
  <si>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</si>
  <si>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</si>
  <si>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</si>
  <si>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</si>
  <si>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</si>
  <si>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</si>
  <si>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</si>
  <si>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</si>
  <si>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</si>
  <si>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</si>
  <si>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</si>
  <si>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</si>
  <si>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</si>
  <si>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</si>
  <si>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</si>
  <si>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</si>
  <si>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</si>
  <si>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</si>
  <si>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</si>
  <si>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</si>
  <si>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</si>
  <si>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</si>
  <si>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</si>
  <si>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</si>
  <si>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</si>
  <si>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</si>
  <si>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</si>
  <si>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</si>
  <si>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</si>
  <si>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</si>
  <si>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</si>
  <si>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</si>
  <si>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</si>
  <si>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</si>
  <si>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</si>
  <si>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</si>
  <si>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</si>
  <si>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</si>
  <si>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</si>
  <si>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</si>
  <si>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</si>
  <si>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</si>
  <si>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</si>
  <si>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</si>
  <si>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</si>
  <si>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</si>
  <si>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</si>
  <si>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</si>
  <si>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</si>
  <si>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</si>
  <si>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</si>
  <si>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</si>
  <si>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</si>
  <si>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</si>
  <si>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</si>
  <si>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</si>
  <si>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</si>
  <si>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</si>
  <si>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</si>
  <si>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</si>
  <si>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</si>
  <si>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</si>
  <si>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</si>
  <si>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</si>
  <si>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</si>
  <si>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</si>
  <si>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</si>
  <si>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</si>
  <si>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</si>
  <si>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</si>
  <si>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</si>
  <si>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</si>
  <si>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</si>
  <si>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</si>
  <si>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</si>
  <si>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</si>
  <si>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</si>
  <si>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</si>
  <si>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</si>
  <si>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</si>
  <si>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</si>
  <si>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</si>
  <si>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</si>
  <si>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</si>
  <si>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</si>
  <si>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</si>
  <si>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</si>
  <si>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</si>
  <si>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</si>
  <si>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</si>
  <si>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</si>
  <si>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</si>
  <si>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</si>
  <si>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</si>
  <si>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</si>
  <si>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</si>
  <si>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</si>
  <si>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</si>
  <si>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</si>
  <si>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</si>
  <si>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</si>
  <si>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</si>
  <si>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</si>
  <si>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</si>
  <si>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</si>
  <si>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</si>
  <si>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</si>
  <si>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</si>
  <si>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</si>
  <si>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</si>
  <si>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</si>
  <si>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</si>
  <si>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</si>
  <si>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</si>
  <si>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</si>
  <si>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</si>
  <si>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</si>
  <si>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</si>
  <si>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</si>
  <si>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</si>
  <si>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</si>
  <si>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</si>
  <si>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</si>
  <si>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</si>
  <si>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</si>
  <si>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</si>
  <si>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</si>
  <si>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</si>
  <si>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</si>
  <si>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</si>
  <si>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</si>
  <si>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</si>
  <si>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</si>
  <si>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</si>
  <si>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</si>
  <si>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</si>
  <si>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</si>
  <si>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</si>
  <si>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</si>
  <si>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</si>
  <si>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</si>
  <si>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</si>
  <si>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</si>
  <si>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</si>
  <si>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</si>
  <si>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</si>
  <si>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</si>
  <si>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</si>
  <si>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</si>
  <si>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</si>
  <si>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</si>
  <si>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</si>
  <si>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</si>
  <si>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</si>
  <si>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</si>
  <si>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</si>
  <si>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</si>
  <si>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</si>
  <si>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</si>
  <si>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</si>
  <si>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</si>
  <si>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</si>
  <si>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</si>
  <si>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</si>
  <si>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</si>
  <si>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</si>
  <si>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</si>
  <si>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</si>
  <si>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</si>
  <si>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</si>
  <si>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</si>
  <si>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</si>
  <si>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</si>
  <si>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</si>
  <si>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</si>
  <si>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</si>
  <si>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</si>
  <si>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</si>
  <si>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</si>
  <si>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</si>
  <si>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</si>
  <si>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</si>
  <si>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</si>
  <si>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</si>
  <si>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</si>
  <si>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</si>
  <si>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</si>
  <si>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</si>
  <si>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</si>
  <si>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</si>
  <si>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</si>
  <si>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</si>
  <si>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</si>
  <si>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</si>
  <si>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</si>
  <si>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</si>
  <si>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</si>
  <si>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</si>
  <si>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</si>
  <si>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</si>
  <si>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</si>
  <si>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</si>
  <si>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</si>
  <si>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</si>
  <si>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</si>
  <si>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</si>
  <si>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</si>
  <si>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</si>
  <si>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</si>
  <si>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</si>
  <si>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</si>
  <si>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</si>
  <si>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</si>
  <si>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</si>
  <si>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</si>
  <si>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</si>
  <si>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</si>
  <si>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</si>
  <si>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</si>
  <si>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</si>
  <si>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</si>
  <si>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</si>
  <si>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</si>
  <si>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</si>
  <si>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</si>
  <si>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</si>
  <si>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</si>
  <si>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</si>
  <si>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</si>
  <si>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</si>
  <si>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</si>
  <si>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</si>
  <si>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</si>
  <si>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</si>
  <si>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</si>
  <si>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</si>
  <si>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</si>
  <si>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</si>
  <si>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</si>
  <si>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</si>
  <si>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</si>
  <si>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</si>
  <si>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</si>
  <si>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</si>
  <si>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</si>
  <si>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</si>
  <si>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</si>
  <si>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</si>
  <si>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</si>
  <si>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</si>
  <si>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</si>
  <si>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</si>
  <si>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</si>
  <si>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</si>
  <si>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</si>
  <si>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</si>
  <si>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</si>
  <si>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</si>
  <si>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</si>
  <si>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</si>
  <si>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</si>
  <si>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</si>
  <si>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</si>
  <si>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</si>
  <si>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</si>
  <si>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</si>
  <si>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</si>
  <si>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</si>
  <si>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</si>
  <si>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</si>
  <si>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</si>
  <si>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</si>
  <si>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</si>
  <si>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</si>
  <si>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</si>
  <si>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</si>
  <si>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</si>
  <si>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</si>
  <si>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</si>
  <si>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</si>
  <si>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</si>
  <si>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</si>
  <si>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</si>
  <si>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</si>
  <si>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</si>
  <si>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</si>
  <si>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</si>
  <si>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</si>
  <si>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</si>
  <si>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</si>
  <si>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</si>
  <si>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</si>
  <si>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</si>
  <si>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</si>
  <si>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</si>
  <si>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</si>
  <si>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</si>
  <si>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</si>
  <si>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</si>
  <si>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</si>
  <si>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</si>
  <si>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</si>
  <si>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</si>
  <si>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</si>
  <si>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</si>
  <si>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</si>
  <si>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</si>
  <si>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</si>
  <si>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</si>
  <si>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</si>
  <si>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</si>
  <si>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</si>
  <si>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</si>
  <si>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</si>
  <si>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</si>
  <si>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</si>
  <si>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</si>
  <si>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</si>
  <si>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</si>
  <si>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</si>
  <si>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</si>
  <si>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</si>
  <si>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</si>
  <si>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</si>
  <si>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</si>
  <si>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</si>
  <si>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</si>
  <si>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</si>
  <si>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</si>
  <si>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</si>
  <si>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</si>
  <si>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</si>
  <si>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</si>
  <si>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</si>
  <si>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</si>
  <si>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</si>
  <si>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</si>
  <si>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</si>
  <si>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</si>
  <si>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</si>
  <si>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</si>
  <si>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</si>
  <si>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</si>
  <si>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</si>
  <si>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</si>
  <si>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</si>
  <si>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</si>
  <si>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</si>
  <si>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</si>
  <si>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</si>
  <si>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</si>
  <si>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</si>
  <si>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</si>
  <si>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</si>
  <si>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</si>
  <si>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</si>
  <si>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</si>
  <si>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</si>
  <si>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</si>
  <si>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</si>
  <si>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</si>
  <si>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</si>
  <si>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</si>
  <si>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</si>
  <si>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</si>
  <si>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</si>
  <si>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</si>
  <si>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</si>
  <si>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</si>
  <si>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</si>
  <si>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</si>
  <si>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</si>
  <si>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</si>
  <si>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</si>
  <si>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</si>
  <si>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</si>
  <si>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</si>
  <si>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</si>
  <si>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</si>
  <si>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</si>
  <si>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</si>
  <si>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</si>
  <si>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</si>
  <si>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</si>
  <si>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</si>
  <si>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</si>
  <si>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</si>
  <si>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</si>
  <si>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</si>
  <si>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</si>
  <si>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</si>
  <si>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</si>
  <si>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</si>
  <si>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</si>
  <si>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</si>
  <si>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</si>
  <si>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</si>
  <si>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</si>
  <si>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</si>
  <si>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</si>
  <si>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</si>
  <si>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</si>
  <si>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</si>
  <si>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</si>
  <si>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</si>
  <si>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</si>
  <si>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</si>
  <si>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</si>
  <si>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</si>
  <si>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</si>
  <si>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</si>
  <si>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</si>
  <si>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</si>
  <si>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</si>
  <si>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</si>
  <si>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</si>
  <si>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</si>
  <si>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</si>
  <si>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</si>
  <si>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</si>
  <si>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</si>
  <si>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</si>
  <si>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</si>
  <si>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</si>
  <si>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</si>
  <si>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</si>
  <si>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</si>
  <si>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</si>
  <si>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</si>
  <si>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</si>
  <si>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</si>
  <si>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</si>
  <si>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</si>
  <si>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</si>
  <si>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</si>
  <si>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</si>
  <si>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</si>
  <si>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</si>
  <si>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</si>
  <si>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</si>
  <si>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</si>
  <si>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</si>
  <si>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</si>
  <si>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</si>
  <si>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</si>
  <si>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</si>
  <si>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</si>
  <si>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</si>
  <si>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</si>
  <si>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</si>
  <si>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</si>
  <si>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</si>
  <si>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</si>
  <si>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</si>
  <si>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</si>
  <si>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</si>
  <si>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</si>
  <si>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</si>
  <si>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</si>
  <si>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</si>
  <si>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</si>
  <si>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</si>
  <si>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</si>
  <si>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</si>
  <si>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</si>
  <si>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</si>
  <si>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</si>
  <si>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</si>
  <si>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</si>
  <si>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</si>
  <si>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</si>
  <si>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</si>
  <si>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</si>
  <si>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</si>
  <si>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</si>
  <si>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</si>
  <si>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</si>
  <si>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</si>
  <si>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</si>
  <si>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</si>
  <si>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</si>
  <si>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</si>
  <si>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</si>
  <si>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</si>
  <si>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</si>
  <si>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</si>
  <si>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</si>
  <si>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</si>
  <si>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</si>
  <si>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</si>
  <si>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</si>
  <si>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</si>
  <si>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</si>
  <si>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</si>
  <si>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</si>
  <si>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</si>
  <si>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</si>
  <si>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</si>
  <si>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</si>
  <si>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</si>
  <si>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</si>
  <si>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</si>
  <si>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</si>
  <si>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</si>
  <si>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</si>
  <si>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</si>
  <si>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</si>
  <si>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</si>
  <si>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</si>
  <si>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</si>
  <si>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</si>
  <si>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</si>
  <si>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</si>
  <si>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</si>
  <si>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</si>
  <si>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</si>
  <si>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</si>
  <si>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</si>
  <si>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</si>
  <si>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</si>
  <si>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</si>
  <si>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</si>
  <si>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</si>
  <si>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</si>
  <si>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</si>
  <si>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</si>
  <si>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</si>
  <si>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</si>
  <si>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</si>
  <si>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</si>
  <si>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</si>
  <si>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</si>
  <si>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</si>
  <si>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</si>
  <si>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</si>
  <si>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</si>
  <si>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</si>
  <si>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</si>
  <si>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</si>
  <si>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</si>
  <si>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</si>
  <si>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</si>
  <si>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</si>
  <si>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</si>
  <si>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</si>
  <si>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</si>
  <si>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</si>
  <si>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</si>
  <si>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</si>
  <si>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</si>
  <si>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</si>
  <si>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</si>
  <si>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</si>
  <si>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</si>
  <si>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</si>
  <si>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</si>
  <si>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</si>
  <si>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</si>
  <si>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</si>
  <si>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</si>
  <si>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</si>
  <si>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</si>
  <si>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</si>
  <si>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</si>
  <si>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</si>
  <si>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</si>
  <si>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</si>
  <si>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</si>
  <si>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</si>
  <si>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</si>
  <si>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</si>
  <si>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</si>
  <si>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</si>
  <si>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</si>
  <si>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</si>
  <si>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</si>
  <si>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</si>
  <si>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</si>
  <si>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</si>
  <si>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</si>
  <si>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</si>
  <si>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</si>
  <si>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</si>
  <si>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</si>
  <si>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</si>
  <si>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</si>
  <si>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</si>
  <si>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</si>
  <si>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</si>
  <si>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</si>
  <si>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</si>
  <si>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</si>
  <si>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</si>
  <si>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</si>
  <si>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</si>
  <si>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</si>
  <si>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</si>
  <si>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</si>
  <si>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</si>
  <si>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</si>
  <si>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</si>
  <si>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</si>
  <si>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</si>
  <si>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</si>
  <si>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</si>
  <si>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</si>
  <si>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</si>
  <si>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</si>
  <si>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</si>
  <si>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</si>
  <si>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</si>
  <si>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</si>
  <si>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</si>
  <si>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</si>
  <si>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</si>
  <si>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</si>
  <si>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</si>
  <si>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</si>
  <si>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</si>
  <si>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</si>
  <si>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</si>
  <si>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</si>
  <si>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</si>
  <si>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</si>
  <si>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</si>
  <si>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</si>
  <si>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</si>
  <si>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</si>
  <si>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</si>
  <si>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</si>
  <si>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</si>
  <si>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</si>
  <si>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</si>
  <si>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</si>
  <si>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</si>
  <si>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</si>
  <si>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</si>
  <si>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</si>
  <si>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</si>
  <si>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</si>
  <si>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</si>
  <si>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</si>
  <si>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</si>
  <si>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</si>
  <si>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</si>
  <si>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</si>
  <si>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</si>
  <si>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</si>
  <si>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</si>
  <si>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</si>
  <si>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</si>
  <si>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</si>
  <si>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</si>
  <si>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</si>
  <si>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</si>
  <si>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</si>
  <si>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</si>
  <si>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</si>
  <si>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</si>
  <si>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</si>
  <si>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</si>
  <si>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</si>
  <si>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</si>
  <si>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</si>
  <si>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</si>
  <si>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</si>
  <si>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</si>
  <si>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</si>
  <si>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</si>
  <si>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</si>
  <si>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</si>
  <si>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</si>
  <si>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</si>
  <si>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</si>
  <si>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</si>
  <si>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</si>
  <si>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</si>
  <si>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</si>
  <si>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</si>
  <si>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</si>
  <si>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</si>
  <si>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</si>
  <si>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</si>
  <si>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</si>
  <si>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</si>
  <si>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</si>
  <si>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</si>
  <si>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</si>
  <si>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</si>
  <si>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</si>
  <si>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</si>
  <si>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</si>
  <si>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</si>
  <si>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</si>
  <si>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</si>
  <si>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</si>
  <si>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</si>
  <si>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</si>
  <si>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</si>
  <si>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</si>
  <si>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</si>
  <si>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</si>
  <si>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</si>
  <si>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</si>
  <si>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</si>
  <si>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</si>
  <si>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</si>
  <si>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</si>
  <si>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</si>
  <si>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</si>
  <si>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</si>
  <si>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</si>
  <si>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</si>
  <si>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</si>
  <si>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</si>
  <si>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</si>
  <si>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</si>
  <si>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</si>
  <si>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</si>
  <si>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</si>
  <si>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</si>
  <si>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</si>
  <si>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</si>
  <si>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</si>
  <si>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</si>
  <si>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</si>
  <si>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</si>
  <si>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</si>
  <si>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</si>
  <si>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</si>
  <si>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</si>
  <si>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</si>
  <si>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</si>
  <si>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</si>
  <si>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</si>
  <si>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</si>
  <si>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</si>
  <si>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</si>
  <si>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</si>
  <si>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</si>
  <si>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</si>
  <si>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</si>
  <si>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</si>
  <si>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</si>
  <si>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</si>
  <si>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</si>
  <si>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</si>
  <si>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</si>
  <si>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</si>
  <si>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</si>
  <si>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</si>
  <si>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</si>
  <si>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</si>
  <si>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</si>
  <si>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</si>
  <si>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</si>
  <si>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</si>
  <si>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</si>
  <si>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</si>
  <si>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</si>
  <si>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</si>
  <si>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</si>
  <si>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</si>
  <si>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</si>
  <si>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</si>
  <si>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</si>
  <si>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</si>
  <si>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</si>
  <si>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</si>
  <si>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</si>
  <si>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</si>
  <si>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</si>
  <si>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</si>
  <si>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</si>
  <si>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</si>
  <si>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</si>
  <si>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</si>
  <si>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</si>
  <si>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</si>
  <si>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</si>
  <si>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</si>
  <si>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</si>
  <si>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</si>
  <si>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</si>
  <si>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</si>
  <si>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</si>
  <si>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</si>
  <si>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</si>
  <si>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</si>
  <si>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</si>
  <si>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</si>
  <si>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</si>
  <si>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</si>
  <si>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</si>
  <si>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</si>
  <si>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</si>
  <si>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</si>
  <si>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</si>
  <si>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</si>
  <si>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</si>
  <si>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</si>
  <si>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</si>
  <si>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</si>
  <si>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</si>
  <si>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</si>
  <si>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</si>
  <si>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</si>
  <si>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</si>
  <si>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</si>
  <si>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</si>
  <si>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</si>
  <si>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</si>
  <si>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</si>
  <si>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</si>
  <si>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</si>
  <si>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</si>
  <si>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</si>
  <si>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</si>
  <si>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</si>
  <si>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</si>
  <si>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</si>
  <si>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</si>
  <si>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</si>
  <si>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</si>
  <si>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</si>
  <si>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</si>
  <si>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</si>
  <si>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</si>
  <si>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</si>
  <si>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</si>
  <si>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</si>
  <si>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</si>
  <si>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</si>
  <si>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</si>
  <si>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</si>
  <si>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</si>
  <si>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</si>
  <si>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</si>
  <si>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</si>
  <si>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</si>
  <si>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</si>
  <si>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</si>
  <si>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</si>
  <si>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</si>
  <si>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</si>
  <si>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</si>
  <si>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</si>
  <si>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</si>
  <si>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</si>
  <si>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</si>
  <si>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</si>
  <si>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</si>
  <si>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</si>
  <si>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</si>
  <si>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</si>
  <si>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</si>
  <si>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</si>
  <si>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</si>
  <si>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</si>
  <si>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</si>
  <si>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</si>
  <si>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</si>
  <si>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</si>
  <si>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</si>
  <si>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</si>
  <si>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</si>
  <si>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</si>
  <si>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</si>
  <si>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</si>
  <si>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</si>
  <si>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</si>
  <si>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</si>
  <si>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</si>
  <si>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</si>
  <si>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</si>
  <si>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</si>
  <si>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</si>
  <si>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</si>
  <si>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</si>
  <si>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</si>
  <si>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</si>
  <si>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</si>
  <si>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</si>
  <si>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</si>
  <si>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</si>
  <si>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</si>
  <si>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</si>
  <si>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</si>
  <si>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</si>
  <si>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</si>
  <si>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</si>
  <si>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</si>
  <si>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</si>
  <si>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</si>
  <si>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</si>
  <si>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</si>
  <si>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</si>
  <si>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</si>
  <si>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</si>
  <si>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</si>
  <si>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</si>
  <si>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</si>
  <si>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</si>
  <si>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</si>
  <si>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</si>
  <si>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</si>
  <si>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</si>
  <si>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</si>
  <si>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</si>
  <si>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</si>
  <si>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</si>
  <si>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</si>
  <si>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</si>
  <si>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</si>
  <si>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</si>
  <si>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</si>
  <si>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</si>
  <si>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</si>
  <si>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</si>
  <si>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</si>
  <si>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</si>
  <si>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</si>
  <si>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</si>
  <si>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</si>
  <si>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</si>
  <si>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</si>
  <si>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</si>
  <si>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</si>
  <si>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</si>
  <si>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</si>
  <si>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</si>
  <si>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</si>
  <si>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</si>
  <si>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</si>
  <si>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</si>
  <si>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</si>
  <si>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</si>
  <si>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</si>
  <si>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</si>
  <si>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</si>
  <si>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</si>
  <si>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</si>
  <si>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</si>
  <si>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</si>
  <si>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</si>
  <si>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</si>
  <si>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</si>
  <si>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</si>
  <si>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</si>
  <si>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</si>
  <si>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</si>
  <si>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</si>
  <si>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</si>
  <si>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</si>
  <si>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</si>
  <si>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</si>
  <si>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</si>
  <si>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</si>
  <si>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</si>
  <si>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</si>
  <si>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</si>
  <si>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</si>
  <si>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</si>
  <si>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</si>
  <si>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</si>
  <si>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</si>
  <si>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</si>
  <si>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</si>
  <si>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</si>
  <si>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</si>
  <si>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</si>
  <si>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</si>
  <si>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</si>
  <si>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</si>
  <si>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</si>
  <si>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</si>
  <si>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</si>
  <si>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</si>
  <si>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</si>
  <si>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</si>
  <si>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</si>
  <si>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</si>
  <si>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</si>
  <si>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</si>
  <si>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</si>
  <si>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</si>
  <si>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</si>
  <si>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</si>
  <si>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</si>
  <si>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</si>
  <si>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</si>
  <si>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</si>
  <si>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</si>
  <si>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</si>
  <si>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</si>
  <si>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</si>
  <si>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</si>
  <si>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</si>
  <si>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</si>
  <si>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</si>
  <si>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</si>
  <si>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</si>
  <si>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</si>
  <si>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</si>
  <si>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</si>
  <si>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</si>
  <si>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</si>
  <si>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</si>
  <si>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</si>
  <si>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</si>
  <si>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</si>
  <si>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</si>
  <si>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</si>
  <si>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</si>
  <si>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</si>
  <si>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</si>
  <si>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</si>
  <si>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</si>
  <si>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</si>
  <si>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</si>
  <si>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</si>
  <si>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</si>
  <si>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</si>
  <si>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</si>
  <si>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</si>
  <si>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</si>
  <si>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</si>
  <si>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</si>
  <si>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</si>
  <si>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</si>
  <si>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</si>
  <si>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</si>
  <si>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</si>
  <si>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</si>
  <si>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</si>
  <si>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</si>
  <si>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</si>
  <si>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</si>
  <si>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</si>
  <si>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</si>
  <si>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</si>
  <si>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</si>
  <si>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</si>
  <si>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</si>
  <si>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</si>
  <si>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</si>
  <si>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</si>
  <si>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</si>
  <si>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</si>
  <si>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</si>
  <si>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</si>
  <si>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</si>
  <si>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</si>
  <si>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</si>
  <si>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</si>
  <si>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</si>
  <si>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</si>
  <si>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</si>
  <si>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</si>
  <si>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</si>
  <si>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</si>
  <si>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</si>
  <si>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</si>
  <si>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</si>
  <si>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</si>
  <si>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</si>
  <si>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</si>
  <si>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</si>
  <si>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</si>
  <si>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</si>
  <si>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</si>
  <si>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</si>
  <si>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</si>
  <si>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</si>
  <si>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</si>
  <si>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</si>
  <si>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</si>
  <si>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</si>
  <si>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</si>
  <si>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</si>
  <si>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</si>
  <si>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</si>
  <si>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</si>
  <si>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</si>
  <si>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</si>
  <si>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</si>
  <si>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</si>
  <si>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</si>
  <si>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</si>
  <si>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</si>
  <si>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</si>
  <si>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</si>
  <si>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</si>
  <si>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</si>
  <si>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</si>
  <si>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</si>
  <si>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</si>
  <si>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</si>
  <si>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</si>
  <si>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</si>
  <si>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</si>
  <si>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</si>
  <si>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</si>
  <si>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</si>
  <si>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</si>
  <si>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</si>
  <si>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</si>
  <si>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</si>
  <si>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</si>
  <si>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</si>
  <si>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</si>
  <si>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</si>
  <si>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</si>
  <si>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</si>
  <si>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</si>
  <si>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</si>
  <si>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</si>
  <si>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</si>
  <si>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</si>
  <si>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</si>
  <si>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</si>
  <si>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</si>
  <si>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</si>
  <si>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</si>
  <si>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</si>
  <si>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</si>
  <si>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</si>
  <si>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</si>
  <si>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</si>
  <si>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</si>
  <si>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</si>
  <si>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</si>
  <si>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</si>
  <si>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</si>
  <si>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</si>
  <si>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</si>
  <si>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</si>
  <si>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</si>
  <si>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</si>
  <si>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</si>
  <si>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</si>
  <si>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</si>
  <si>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</si>
  <si>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</si>
  <si>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</si>
  <si>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</si>
  <si>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</si>
  <si>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</si>
  <si>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</si>
  <si>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</si>
  <si>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</si>
  <si>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</si>
  <si>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</si>
  <si>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</si>
  <si>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</si>
  <si>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</si>
  <si>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</si>
  <si>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</si>
  <si>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</si>
  <si>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</si>
  <si>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</si>
  <si>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</si>
  <si>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</si>
  <si>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</si>
  <si>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</si>
  <si>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</si>
  <si>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</si>
  <si>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</si>
  <si>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</si>
  <si>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</si>
  <si>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</si>
  <si>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</si>
  <si>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</si>
  <si>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</si>
  <si>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</si>
  <si>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</si>
  <si>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</si>
  <si>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</si>
  <si>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</si>
  <si>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</si>
  <si>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</si>
  <si>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</si>
  <si>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</si>
  <si>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</si>
  <si>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</si>
  <si>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</si>
  <si>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</si>
  <si>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</si>
  <si>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</si>
  <si>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</si>
  <si>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</si>
  <si>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</si>
  <si>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</si>
  <si>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</si>
  <si>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</si>
  <si>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</si>
  <si>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</si>
  <si>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</si>
  <si>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</si>
  <si>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</si>
  <si>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</si>
  <si>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</si>
  <si>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</si>
  <si>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</si>
  <si>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</si>
  <si>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</si>
  <si>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</si>
  <si>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</si>
  <si>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</si>
  <si>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</si>
  <si>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</si>
  <si>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</si>
  <si>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</si>
  <si>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</si>
  <si>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</si>
  <si>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</si>
  <si>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</si>
  <si>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</si>
  <si>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</si>
  <si>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</si>
  <si>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</si>
  <si>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</si>
  <si>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</si>
  <si>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</si>
  <si>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</si>
  <si>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</si>
  <si>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</si>
  <si>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</si>
  <si>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</si>
  <si>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</si>
  <si>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</si>
  <si>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</si>
  <si>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</si>
  <si>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</si>
  <si>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</si>
  <si>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</si>
  <si>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</si>
  <si>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</si>
  <si>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</si>
  <si>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</si>
  <si>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</si>
  <si>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</si>
  <si>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</si>
  <si>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</si>
  <si>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</si>
  <si>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</si>
  <si>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</si>
  <si>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</si>
  <si>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</si>
  <si>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</si>
  <si>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</si>
  <si>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</si>
  <si>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</si>
  <si>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</si>
  <si>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</si>
  <si>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</si>
  <si>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</si>
  <si>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</si>
  <si>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</si>
  <si>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</si>
  <si>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</si>
  <si>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</si>
  <si>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</si>
  <si>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</si>
  <si>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</si>
  <si>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</si>
  <si>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</si>
  <si>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</si>
  <si>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</si>
  <si>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</si>
  <si>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</si>
  <si>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</si>
  <si>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</si>
  <si>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</si>
  <si>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</si>
  <si>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</si>
  <si>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</si>
  <si>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</si>
  <si>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</si>
  <si>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</si>
  <si>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</si>
  <si>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</si>
  <si>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</si>
  <si>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</si>
  <si>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</si>
  <si>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</si>
  <si>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</si>
  <si>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</si>
  <si>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</si>
  <si>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</si>
  <si>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</si>
  <si>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</si>
  <si>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</si>
  <si>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</si>
  <si>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</si>
  <si>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</si>
  <si>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</si>
  <si>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</si>
  <si>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</si>
  <si>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</si>
  <si>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</si>
  <si>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</si>
  <si>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</si>
  <si>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</si>
  <si>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</si>
  <si>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</si>
  <si>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</si>
  <si>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</si>
  <si>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</si>
  <si>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</si>
  <si>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</si>
  <si>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</si>
  <si>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</si>
  <si>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</si>
  <si>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</si>
  <si>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</si>
  <si>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</si>
  <si>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</si>
  <si>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</si>
  <si>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</si>
  <si>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</si>
  <si>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</si>
  <si>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</si>
  <si>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</si>
  <si>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</si>
  <si>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</si>
  <si>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</si>
  <si>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</si>
  <si>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</si>
  <si>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</si>
  <si>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</si>
  <si>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</si>
  <si>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</si>
  <si>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</si>
  <si>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</si>
  <si>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</si>
  <si>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</si>
  <si>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</si>
  <si>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</si>
  <si>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</si>
  <si>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</si>
  <si>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</si>
  <si>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</si>
  <si>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</si>
  <si>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</si>
  <si>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</si>
  <si>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</si>
  <si>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</si>
  <si>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</si>
  <si>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</si>
  <si>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</si>
  <si>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</si>
  <si>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</si>
  <si>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</si>
  <si>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</si>
  <si>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</si>
  <si>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</si>
  <si>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</si>
  <si>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</si>
  <si>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</si>
  <si>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</si>
  <si>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</si>
  <si>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</si>
  <si>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</si>
  <si>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</si>
  <si>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</si>
  <si>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</si>
  <si>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</si>
  <si>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</si>
  <si>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</si>
  <si>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</si>
  <si>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</si>
  <si>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</si>
  <si>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</si>
  <si>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</si>
  <si>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</si>
  <si>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</si>
  <si>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</si>
  <si>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</si>
  <si>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</si>
  <si>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</si>
  <si>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</si>
  <si>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</si>
  <si>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</si>
  <si>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</si>
  <si>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</si>
  <si>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</si>
  <si>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</si>
  <si>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</si>
  <si>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</si>
  <si>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</si>
  <si>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</si>
  <si>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</si>
  <si>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</si>
  <si>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</si>
  <si>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</si>
  <si>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</si>
  <si>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</si>
  <si>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</si>
  <si>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</si>
  <si>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</si>
  <si>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</si>
  <si>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</si>
  <si>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</si>
  <si>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</si>
  <si>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</si>
  <si>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</si>
  <si>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</si>
  <si>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</si>
  <si>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</si>
  <si>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</si>
  <si>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</si>
  <si>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</si>
  <si>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</si>
  <si>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</si>
  <si>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</si>
  <si>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</si>
  <si>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</si>
  <si>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</si>
  <si>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</si>
  <si>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</si>
  <si>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</si>
  <si>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</si>
  <si>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</si>
  <si>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</si>
  <si>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</si>
  <si>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</si>
  <si>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</si>
  <si>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</si>
  <si>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</si>
  <si>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</si>
  <si>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</si>
  <si>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</si>
  <si>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</si>
  <si>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</si>
  <si>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</si>
  <si>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</si>
  <si>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</si>
  <si>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</si>
  <si>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</si>
  <si>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</si>
  <si>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</si>
  <si>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</si>
  <si>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</si>
  <si>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</si>
  <si>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</si>
  <si>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</si>
  <si>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</si>
  <si>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</si>
  <si>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</si>
  <si>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</si>
  <si>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</si>
  <si>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</si>
  <si>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</si>
  <si>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</si>
  <si>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</si>
  <si>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</si>
  <si>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</si>
  <si>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</si>
  <si>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</si>
  <si>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</si>
  <si>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</si>
  <si>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</si>
  <si>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</si>
  <si>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</si>
  <si>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</si>
  <si>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</si>
  <si>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</si>
  <si>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</si>
  <si>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</si>
  <si>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</si>
  <si>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</si>
  <si>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</si>
  <si>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</si>
  <si>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</si>
  <si>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</si>
  <si>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</si>
  <si>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</si>
  <si>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</si>
  <si>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</si>
  <si>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</si>
  <si>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</si>
  <si>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</si>
  <si>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</si>
  <si>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</si>
  <si>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</si>
  <si>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</si>
  <si>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</si>
  <si>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</si>
  <si>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</si>
  <si>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</si>
  <si>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</si>
  <si>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</si>
  <si>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</si>
  <si>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</si>
  <si>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</si>
  <si>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</si>
  <si>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</si>
  <si>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</si>
  <si>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</si>
  <si>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</si>
  <si>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</si>
  <si>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</si>
  <si>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</si>
  <si>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</si>
  <si>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</si>
  <si>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</si>
  <si>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</si>
  <si>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</si>
  <si>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</si>
  <si>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</si>
  <si>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</si>
  <si>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</si>
  <si>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</si>
  <si>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</si>
  <si>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</si>
  <si>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</si>
  <si>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</si>
  <si>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</si>
  <si>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</si>
  <si>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</si>
  <si>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</si>
  <si>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</si>
  <si>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</si>
  <si>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</si>
  <si>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</si>
  <si>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</si>
  <si>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</si>
  <si>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</si>
  <si>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</si>
  <si>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</si>
  <si>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</si>
  <si>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</si>
  <si>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</si>
  <si>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</si>
  <si>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</si>
  <si>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</si>
  <si>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</si>
  <si>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</si>
  <si>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</si>
  <si>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</si>
  <si>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</si>
  <si>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</si>
  <si>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</si>
  <si>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</si>
  <si>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</si>
  <si>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</si>
  <si>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</si>
  <si>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</si>
  <si>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</si>
  <si>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</si>
  <si>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</si>
  <si>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</si>
  <si>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</si>
  <si>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</si>
  <si>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</si>
  <si>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</si>
  <si>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</si>
  <si>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</si>
  <si>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</si>
  <si>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</si>
  <si>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</si>
  <si>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</si>
  <si>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</si>
  <si>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</si>
  <si>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</si>
  <si>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</si>
  <si>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</si>
  <si>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</si>
  <si>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</si>
  <si>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</si>
  <si>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</si>
  <si>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</si>
  <si>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</si>
  <si>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</si>
  <si>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</si>
  <si>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</si>
  <si>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</si>
  <si>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</si>
  <si>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</si>
  <si>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</si>
  <si>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</si>
  <si>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</si>
  <si>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</si>
  <si>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</si>
  <si>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</si>
  <si>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</si>
  <si>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</si>
  <si>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</si>
  <si>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</si>
  <si>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</si>
  <si>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</si>
  <si>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</si>
  <si>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</si>
  <si>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</si>
  <si>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</si>
  <si>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</si>
  <si>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</si>
  <si>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</si>
  <si>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</si>
  <si>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</si>
  <si>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</si>
  <si>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</si>
  <si>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</si>
  <si>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</si>
  <si>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</si>
  <si>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</si>
  <si>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</si>
  <si>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</si>
  <si>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</si>
  <si>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</si>
  <si>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</si>
  <si>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</si>
  <si>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</si>
  <si>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</si>
  <si>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</si>
  <si>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</si>
  <si>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</si>
  <si>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</si>
  <si>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</si>
  <si>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</si>
  <si>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</si>
  <si>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</si>
  <si>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</si>
  <si>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</si>
  <si>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</si>
  <si>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</si>
  <si>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</si>
  <si>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</si>
  <si>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</si>
  <si>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</si>
  <si>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</si>
  <si>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</si>
  <si>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</si>
  <si>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</si>
  <si>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</si>
  <si>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</si>
  <si>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</si>
  <si>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</si>
  <si>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</si>
  <si>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</si>
  <si>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</si>
  <si>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</si>
  <si>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</si>
  <si>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</si>
  <si>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</si>
  <si>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</si>
  <si>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</si>
  <si>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</si>
  <si>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</si>
  <si>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</si>
  <si>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</si>
  <si>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</si>
  <si>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</si>
  <si>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</si>
  <si>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</si>
  <si>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</si>
  <si>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</si>
  <si>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</si>
  <si>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</si>
  <si>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</si>
  <si>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</si>
  <si>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</si>
  <si>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</si>
  <si>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</si>
  <si>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</si>
  <si>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</si>
  <si>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</si>
  <si>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</si>
  <si>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</si>
  <si>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</si>
  <si>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</si>
  <si>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</si>
  <si>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</si>
  <si>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</si>
  <si>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</si>
  <si>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</si>
  <si>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</si>
  <si>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</si>
  <si>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</si>
  <si>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</si>
  <si>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</si>
  <si>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</si>
  <si>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</si>
  <si>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</si>
  <si>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</si>
  <si>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</si>
  <si>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</si>
  <si>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</si>
  <si>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</si>
  <si>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</si>
  <si>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</si>
  <si>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</si>
  <si>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</si>
  <si>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</si>
  <si>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</si>
  <si>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</si>
  <si>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</si>
  <si>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</si>
  <si>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</si>
  <si>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</si>
  <si>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</si>
  <si>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</si>
  <si>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</si>
  <si>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</si>
  <si>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</si>
  <si>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</si>
  <si>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</si>
  <si>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</si>
  <si>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</si>
  <si>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</si>
  <si>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</si>
  <si>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</si>
  <si>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</si>
  <si>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</si>
  <si>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</si>
  <si>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</si>
  <si>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</si>
  <si>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</si>
  <si>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</si>
  <si>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</si>
  <si>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</si>
  <si>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</si>
  <si>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</si>
  <si>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</si>
  <si>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</si>
  <si>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</si>
  <si>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</si>
  <si>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</si>
  <si>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</si>
  <si>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</si>
  <si>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</si>
  <si>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</si>
  <si>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</si>
  <si>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</si>
  <si>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</si>
  <si>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</si>
  <si>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</si>
  <si>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</si>
  <si>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</si>
  <si>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</si>
  <si>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</si>
  <si>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</si>
  <si>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</si>
  <si>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</si>
  <si>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</si>
  <si>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</si>
  <si>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</si>
  <si>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</si>
  <si>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</si>
  <si>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</si>
  <si>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</si>
  <si>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</si>
  <si>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</si>
  <si>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</si>
  <si>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</si>
  <si>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</si>
  <si>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</si>
  <si>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</si>
  <si>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</si>
  <si>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</si>
  <si>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</si>
  <si>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</si>
  <si>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</si>
  <si>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</si>
  <si>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</si>
  <si>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</si>
  <si>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</si>
  <si>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</si>
  <si>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</si>
  <si>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</si>
  <si>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</si>
  <si>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</si>
  <si>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</si>
  <si>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</si>
  <si>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</si>
  <si>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</si>
  <si>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</si>
  <si>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</si>
  <si>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</si>
  <si>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</si>
  <si>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</si>
  <si>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</si>
  <si>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</si>
  <si>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</si>
  <si>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</si>
  <si>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</si>
  <si>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</si>
  <si>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</si>
  <si>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</si>
  <si>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</si>
  <si>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</si>
  <si>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</si>
  <si>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</si>
  <si>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</si>
  <si>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</si>
  <si>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</si>
  <si>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</si>
  <si>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</si>
  <si>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</si>
  <si>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</si>
  <si>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</si>
  <si>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</si>
  <si>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</si>
  <si>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</si>
  <si>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</si>
  <si>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</si>
  <si>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</si>
  <si>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</si>
  <si>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</si>
  <si>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</si>
  <si>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</si>
  <si>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</si>
  <si>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</si>
  <si>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</si>
  <si>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</si>
  <si>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</si>
  <si>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</si>
  <si>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</si>
  <si>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</si>
  <si>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</si>
  <si>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</si>
  <si>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</si>
  <si>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</si>
  <si>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</si>
  <si>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</si>
  <si>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</si>
  <si>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</si>
  <si>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</si>
  <si>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</si>
  <si>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</si>
  <si>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</si>
  <si>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</si>
  <si>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</si>
  <si>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</si>
  <si>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</si>
  <si>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</si>
  <si>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</si>
  <si>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</si>
  <si>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</si>
  <si>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</si>
  <si>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</si>
  <si>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</si>
  <si>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</si>
  <si>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</si>
  <si>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</si>
  <si>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</si>
  <si>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</si>
  <si>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</si>
  <si>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</si>
  <si>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</si>
  <si>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</si>
  <si>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</si>
  <si>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</si>
  <si>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</si>
  <si>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</si>
  <si>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</si>
  <si>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</si>
  <si>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</si>
  <si>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</si>
  <si>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</si>
  <si>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</si>
  <si>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</si>
  <si>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</si>
  <si>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</si>
  <si>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</si>
  <si>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</si>
  <si>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</si>
  <si>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</si>
  <si>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</si>
  <si>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</si>
  <si>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</si>
  <si>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</si>
  <si>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</si>
  <si>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</si>
  <si>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</si>
  <si>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</si>
  <si>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</si>
  <si>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</si>
  <si>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</si>
  <si>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</si>
  <si>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</si>
  <si>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</si>
  <si>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</si>
  <si>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</si>
  <si>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</si>
  <si>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</si>
  <si>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</si>
  <si>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</si>
  <si>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</si>
  <si>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</si>
  <si>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</si>
  <si>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</si>
  <si>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</si>
  <si>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</si>
  <si>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</si>
  <si>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</si>
  <si>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</si>
  <si>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</si>
  <si>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</si>
  <si>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</si>
  <si>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</si>
  <si>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</si>
  <si>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</si>
  <si>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</si>
  <si>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</si>
  <si>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</si>
  <si>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</si>
  <si>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</si>
  <si>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</si>
  <si>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</si>
  <si>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</si>
  <si>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</si>
  <si>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</si>
  <si>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</si>
  <si>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</si>
  <si>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</si>
  <si>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</si>
  <si>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</si>
  <si>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</si>
  <si>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</si>
  <si>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</si>
  <si>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</si>
  <si>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</si>
  <si>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</si>
  <si>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</si>
  <si>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</si>
  <si>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</si>
  <si>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</si>
  <si>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</si>
  <si>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</si>
  <si>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</si>
  <si>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</si>
  <si>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</si>
  <si>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</si>
  <si>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</si>
  <si>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</si>
  <si>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</si>
  <si>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</si>
  <si>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</si>
  <si>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</si>
  <si>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</si>
  <si>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</si>
  <si>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</si>
  <si>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</si>
  <si>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</si>
  <si>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</si>
  <si>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</si>
  <si>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</si>
  <si>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</si>
  <si>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</si>
  <si>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</si>
  <si>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</si>
  <si>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</si>
  <si>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</si>
  <si>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</si>
  <si>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</si>
  <si>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</si>
  <si>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</si>
  <si>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</si>
  <si>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</si>
  <si>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</si>
  <si>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</si>
  <si>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</si>
  <si>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</si>
  <si>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</si>
  <si>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</si>
  <si>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</si>
  <si>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</si>
  <si>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</si>
  <si>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</si>
  <si>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</si>
  <si>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</si>
  <si>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</si>
  <si>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</si>
  <si>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</si>
  <si>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</si>
  <si>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</si>
  <si>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</si>
  <si>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</si>
  <si>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</si>
  <si>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</si>
  <si>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</si>
  <si>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</si>
  <si>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</si>
  <si>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</si>
  <si>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</si>
  <si>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</si>
  <si>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</si>
  <si>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</si>
  <si>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</si>
  <si>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</si>
  <si>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</si>
  <si>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</si>
  <si>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</si>
  <si>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</si>
  <si>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</si>
  <si>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</si>
  <si>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</si>
  <si>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</si>
  <si>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</si>
  <si>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</si>
  <si>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</si>
  <si>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</si>
  <si>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</si>
  <si>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</si>
  <si>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</si>
  <si>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</si>
  <si>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</si>
  <si>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</si>
  <si>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</si>
  <si>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</si>
  <si>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</si>
  <si>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</si>
  <si>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</si>
  <si>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</si>
  <si>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</si>
  <si>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</si>
  <si>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</si>
  <si>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</si>
  <si>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</si>
  <si>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</si>
  <si>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</si>
  <si>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</si>
  <si>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</si>
  <si>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</si>
  <si>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</si>
  <si>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</si>
  <si>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</si>
  <si>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</si>
  <si>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</si>
  <si>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</si>
  <si>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</si>
  <si>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</si>
  <si>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</si>
  <si>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</si>
  <si>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</si>
  <si>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</si>
  <si>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</si>
  <si>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</si>
  <si>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</si>
  <si>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</si>
  <si>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</si>
  <si>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</si>
  <si>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</si>
  <si>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</si>
  <si>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</si>
  <si>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</si>
  <si>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</si>
  <si>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</si>
  <si>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</si>
  <si>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</si>
  <si>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</si>
  <si>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</si>
  <si>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</si>
  <si>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</si>
  <si>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</si>
  <si>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</si>
  <si>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</si>
  <si>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</si>
  <si>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</si>
  <si>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</si>
  <si>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</si>
  <si>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</si>
  <si>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</si>
  <si>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</si>
  <si>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</si>
  <si>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</si>
  <si>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</si>
  <si>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</si>
  <si>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</si>
  <si>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</si>
  <si>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</si>
  <si>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</si>
  <si>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</si>
  <si>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</si>
  <si>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</si>
  <si>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</si>
  <si>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</si>
  <si>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</si>
  <si>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</si>
  <si>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</si>
  <si>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</si>
  <si>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</si>
  <si>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</si>
  <si>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</si>
  <si>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</si>
  <si>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</si>
  <si>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</si>
  <si>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</si>
  <si>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</si>
  <si>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</si>
  <si>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</si>
  <si>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</si>
  <si>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</si>
  <si>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</si>
  <si>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</si>
  <si>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</si>
  <si>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</si>
  <si>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</si>
  <si>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</si>
  <si>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</si>
  <si>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</si>
  <si>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</si>
  <si>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</si>
  <si>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</si>
  <si>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</si>
  <si>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</si>
  <si>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</si>
  <si>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</si>
  <si>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</si>
  <si>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</si>
  <si>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</si>
  <si>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</si>
  <si>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</si>
  <si>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</si>
  <si>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</si>
  <si>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</si>
  <si>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</si>
  <si>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</si>
  <si>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</si>
  <si>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</si>
  <si>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</si>
  <si>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</si>
  <si>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</si>
  <si>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</si>
  <si>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</si>
  <si>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</si>
  <si>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</si>
  <si>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</si>
  <si>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</si>
  <si>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</si>
  <si>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</si>
  <si>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</si>
  <si>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</si>
  <si>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</si>
  <si>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</si>
  <si>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</si>
  <si>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</si>
  <si>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</si>
  <si>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</si>
  <si>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</si>
  <si>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</si>
  <si>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</si>
  <si>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</si>
  <si>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</si>
  <si>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</si>
  <si>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</si>
  <si>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</si>
  <si>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</si>
  <si>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</si>
  <si>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</si>
  <si>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</si>
  <si>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</si>
  <si>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</si>
  <si>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</si>
  <si>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</si>
  <si>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</si>
  <si>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</si>
  <si>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</si>
  <si>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</si>
  <si>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</si>
  <si>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</si>
  <si>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</si>
  <si>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</si>
  <si>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</si>
  <si>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</si>
  <si>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</si>
  <si>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</si>
  <si>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</si>
  <si>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</si>
  <si>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</si>
  <si>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</si>
  <si>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</si>
  <si>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</si>
  <si>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</si>
  <si>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</si>
  <si>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</si>
  <si>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</si>
  <si>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</si>
  <si>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</si>
  <si>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</si>
  <si>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</si>
  <si>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</si>
  <si>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</si>
  <si>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</si>
  <si>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</si>
  <si>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</si>
  <si>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</si>
  <si>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</si>
  <si>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</si>
  <si>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</si>
  <si>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</si>
  <si>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</si>
  <si>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</si>
  <si>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</si>
  <si>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</si>
  <si>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</si>
  <si>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</si>
  <si>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</si>
  <si>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</si>
  <si>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</si>
  <si>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</si>
  <si>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</si>
  <si>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</si>
  <si>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</si>
  <si>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</si>
  <si>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</si>
  <si>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</si>
  <si>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</si>
  <si>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</si>
  <si>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</si>
  <si>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</si>
  <si>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</si>
  <si>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</si>
  <si>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</si>
  <si>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</si>
  <si>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</si>
  <si>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</si>
  <si>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</si>
  <si>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</si>
  <si>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</si>
  <si>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</si>
  <si>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</si>
  <si>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</si>
  <si>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</si>
  <si>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</si>
  <si>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</si>
  <si>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</si>
  <si>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</si>
  <si>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</si>
  <si>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</si>
  <si>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</si>
  <si>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</si>
  <si>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</si>
  <si>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</si>
  <si>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</si>
  <si>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</si>
  <si>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</si>
  <si>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</si>
  <si>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</si>
  <si>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</si>
  <si>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</si>
  <si>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</si>
  <si>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</si>
  <si>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</si>
  <si>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</si>
  <si>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</si>
  <si>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</si>
  <si>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</si>
  <si>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</si>
  <si>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</si>
  <si>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</si>
  <si>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</si>
  <si>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</si>
  <si>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</si>
  <si>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</si>
  <si>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</si>
  <si>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</si>
  <si>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</si>
  <si>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</si>
  <si>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</si>
  <si>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</si>
  <si>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</si>
  <si>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</si>
  <si>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</si>
  <si>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</si>
  <si>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</si>
  <si>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</si>
  <si>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</si>
  <si>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</si>
  <si>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</si>
  <si>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</si>
  <si>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</si>
  <si>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</si>
  <si>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</si>
  <si>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</si>
  <si>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</si>
  <si>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</si>
  <si>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</si>
  <si>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</si>
  <si>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</si>
  <si>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</si>
  <si>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</si>
  <si>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</si>
  <si>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</si>
  <si>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</si>
  <si>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</si>
  <si>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</si>
  <si>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</si>
  <si>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</si>
  <si>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</si>
  <si>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</si>
  <si>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</si>
  <si>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</si>
  <si>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</si>
  <si>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</si>
  <si>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</si>
  <si>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</si>
  <si>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</si>
  <si>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</si>
  <si>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</si>
  <si>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</si>
  <si>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</si>
  <si>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</si>
  <si>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</si>
  <si>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</si>
  <si>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</si>
  <si>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</si>
  <si>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</si>
  <si>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</si>
  <si>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</si>
  <si>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</si>
  <si>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</si>
  <si>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</si>
  <si>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</si>
  <si>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</si>
  <si>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</si>
  <si>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</si>
  <si>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</si>
  <si>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</si>
  <si>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</si>
  <si>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</si>
  <si>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</si>
  <si>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</si>
  <si>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</si>
  <si>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</si>
  <si>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</si>
  <si>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</si>
  <si>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</si>
  <si>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</si>
  <si>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</si>
  <si>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</si>
  <si>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</si>
  <si>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</si>
  <si>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</si>
  <si>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</si>
  <si>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</si>
  <si>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</si>
  <si>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</si>
  <si>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</si>
  <si>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</si>
  <si>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</si>
  <si>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</si>
  <si>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</si>
  <si>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</si>
  <si>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</si>
  <si>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</si>
  <si>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</si>
  <si>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</si>
  <si>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</si>
  <si>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</si>
  <si>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</si>
  <si>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</si>
  <si>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</si>
  <si>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</si>
  <si>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</si>
  <si>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</si>
  <si>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</si>
  <si>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</si>
  <si>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</si>
  <si>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</si>
  <si>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</si>
  <si>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</si>
  <si>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</si>
  <si>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</si>
  <si>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</si>
  <si>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</si>
  <si>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</si>
  <si>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</si>
  <si>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</si>
  <si>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</si>
  <si>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</si>
  <si>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</si>
  <si>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</si>
  <si>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</si>
  <si>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</si>
  <si>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</si>
  <si>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</si>
  <si>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</si>
  <si>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</si>
  <si>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</si>
  <si>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</si>
  <si>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</si>
  <si>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</si>
  <si>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</si>
  <si>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</si>
  <si>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</si>
  <si>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</si>
  <si>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</si>
  <si>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</si>
  <si>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</si>
  <si>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</si>
  <si>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</si>
  <si>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</si>
  <si>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</si>
  <si>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</si>
  <si>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</si>
  <si>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</si>
  <si>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</si>
  <si>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</si>
  <si>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</si>
  <si>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</si>
  <si>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</si>
  <si>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</si>
  <si>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</si>
  <si>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</si>
  <si>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</si>
  <si>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</si>
  <si>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</si>
  <si>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</si>
  <si>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</si>
  <si>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</si>
  <si>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</si>
  <si>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</si>
  <si>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</si>
  <si>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</si>
  <si>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</si>
  <si>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</si>
  <si>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</si>
  <si>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</si>
  <si>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</si>
  <si>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</si>
  <si>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</si>
  <si>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</si>
  <si>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</si>
  <si>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</si>
  <si>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</si>
  <si>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</si>
  <si>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</si>
  <si>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</si>
  <si>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</si>
  <si>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</si>
  <si>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</si>
  <si>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</si>
  <si>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</si>
  <si>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</si>
  <si>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</si>
  <si>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</si>
  <si>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</si>
  <si>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</si>
  <si>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</si>
  <si>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</si>
  <si>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</si>
  <si>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</si>
  <si>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</si>
  <si>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</si>
  <si>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</si>
  <si>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</si>
  <si>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</si>
  <si>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</si>
  <si>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</si>
  <si>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</si>
  <si>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</si>
  <si>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</si>
  <si>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</si>
  <si>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</si>
  <si>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</si>
  <si>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</si>
  <si>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</si>
  <si>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</si>
  <si>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</si>
  <si>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</si>
  <si>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</si>
  <si>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</si>
  <si>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</si>
  <si>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</si>
  <si>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</si>
  <si>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</si>
  <si>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</si>
  <si>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</si>
  <si>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</si>
  <si>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</si>
  <si>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</si>
  <si>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</si>
  <si>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</si>
  <si>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</si>
  <si>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</si>
  <si>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</si>
  <si>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</si>
  <si>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</si>
  <si>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</si>
  <si>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</si>
  <si>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</si>
  <si>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</si>
  <si>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</si>
  <si>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</si>
  <si>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</si>
  <si>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</si>
  <si>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</si>
  <si>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</si>
  <si>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</si>
  <si>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</si>
  <si>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</si>
  <si>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</si>
  <si>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</si>
  <si>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</si>
  <si>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</si>
  <si>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</si>
  <si>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</si>
  <si>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</si>
  <si>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</si>
  <si>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</si>
  <si>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</si>
  <si>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</si>
  <si>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</si>
  <si>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</si>
  <si>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</si>
  <si>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</si>
  <si>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</si>
  <si>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</si>
  <si>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</si>
  <si>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</si>
  <si>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</si>
  <si>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</si>
  <si>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</si>
  <si>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</si>
  <si>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</si>
  <si>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</si>
  <si>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</si>
  <si>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</si>
  <si>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</si>
  <si>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</si>
  <si>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</si>
  <si>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</si>
  <si>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</si>
  <si>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</si>
  <si>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</si>
  <si>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</si>
  <si>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</si>
  <si>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</si>
  <si>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</si>
  <si>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</si>
  <si>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</si>
  <si>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</si>
  <si>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</si>
  <si>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</si>
  <si>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</si>
  <si>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</si>
  <si>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</si>
  <si>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</si>
  <si>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</si>
  <si>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</si>
  <si>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</si>
  <si>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</si>
  <si>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</si>
  <si>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</si>
  <si>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</si>
  <si>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</si>
  <si>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</si>
  <si>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</si>
  <si>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</si>
  <si>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</si>
  <si>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</si>
  <si>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</si>
  <si>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</si>
  <si>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</si>
  <si>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</si>
  <si>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</si>
  <si>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</si>
  <si>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</si>
  <si>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</si>
  <si>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</si>
  <si>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</si>
  <si>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</si>
  <si>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</si>
  <si>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</si>
  <si>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</si>
  <si>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</si>
  <si>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</si>
  <si>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</si>
  <si>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</si>
  <si>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</si>
  <si>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</si>
  <si>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</si>
  <si>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</si>
  <si>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</si>
  <si>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</si>
  <si>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</si>
  <si>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</si>
  <si>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</si>
  <si>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</si>
  <si>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</si>
  <si>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</si>
  <si>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</si>
  <si>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</si>
  <si>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</si>
  <si>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</si>
  <si>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</si>
  <si>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</si>
  <si>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</si>
  <si>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</si>
  <si>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</si>
  <si>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</si>
  <si>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</si>
  <si>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</si>
  <si>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</si>
  <si>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</si>
  <si>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</si>
  <si>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</si>
  <si>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</si>
  <si>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</si>
  <si>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</si>
  <si>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</si>
  <si>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</si>
  <si>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</si>
  <si>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</si>
  <si>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</si>
  <si>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</si>
  <si>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</si>
  <si>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</si>
  <si>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</si>
  <si>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</si>
  <si>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</si>
  <si>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</si>
  <si>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</si>
  <si>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</si>
  <si>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</si>
  <si>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</si>
  <si>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</si>
  <si>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</si>
  <si>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</si>
  <si>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</si>
  <si>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</si>
  <si>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</si>
  <si>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</si>
  <si>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</si>
  <si>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</si>
  <si>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</si>
  <si>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</si>
  <si>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</si>
  <si>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</si>
  <si>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</si>
  <si>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</si>
  <si>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</si>
  <si>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</si>
  <si>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</si>
  <si>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</si>
  <si>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</si>
  <si>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</si>
  <si>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</si>
  <si>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</si>
  <si>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</si>
  <si>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</si>
  <si>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</si>
  <si>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</si>
  <si>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</si>
  <si>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</si>
  <si>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</si>
  <si>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</si>
  <si>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</si>
  <si>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</si>
  <si>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</si>
  <si>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</si>
  <si>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</si>
  <si>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</si>
  <si>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</si>
  <si>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</si>
  <si>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</si>
  <si>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</si>
  <si>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</si>
  <si>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</si>
  <si>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</si>
  <si>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</si>
  <si>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</si>
  <si>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</si>
  <si>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</si>
  <si>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</si>
  <si>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</si>
  <si>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</si>
  <si>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</si>
  <si>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</si>
  <si>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</si>
  <si>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</si>
  <si>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</si>
  <si>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</si>
  <si>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</si>
  <si>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</si>
  <si>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</si>
  <si>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</si>
  <si>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</si>
  <si>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</si>
  <si>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</si>
  <si>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</si>
  <si>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</si>
  <si>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</si>
  <si>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</si>
  <si>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</si>
  <si>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</si>
  <si>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</si>
  <si>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</si>
  <si>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</si>
  <si>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</si>
  <si>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</si>
  <si>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</si>
  <si>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</si>
  <si>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</si>
  <si>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</si>
  <si>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</si>
  <si>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</si>
  <si>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</si>
  <si>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</si>
  <si>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</si>
  <si>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</si>
  <si>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</si>
  <si>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</si>
  <si>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</si>
  <si>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</si>
  <si>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</si>
  <si>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</si>
  <si>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</si>
  <si>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</si>
  <si>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</si>
  <si>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</si>
  <si>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</si>
  <si>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</si>
  <si>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</si>
  <si>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</si>
  <si>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</si>
  <si>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</si>
  <si>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</si>
  <si>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</si>
  <si>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</si>
  <si>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</si>
  <si>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</si>
  <si>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</si>
  <si>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</si>
  <si>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</si>
  <si>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</si>
  <si>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</si>
  <si>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</si>
  <si>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</si>
  <si>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</si>
  <si>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</si>
  <si>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</si>
  <si>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</si>
  <si>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</si>
  <si>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</si>
  <si>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</si>
  <si>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</si>
  <si>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</si>
  <si>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</si>
  <si>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</si>
  <si>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</si>
  <si>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</si>
  <si>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</si>
  <si>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</si>
  <si>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</si>
  <si>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</si>
  <si>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</si>
  <si>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</si>
  <si>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</si>
  <si>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</si>
  <si>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</si>
  <si>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</si>
  <si>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</si>
  <si>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</si>
  <si>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</si>
  <si>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</si>
  <si>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</si>
  <si>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</si>
  <si>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</si>
  <si>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</si>
  <si>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</si>
  <si>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</si>
  <si>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</si>
  <si>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</si>
  <si>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</si>
  <si>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</si>
  <si>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</si>
  <si>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</si>
  <si>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</si>
  <si>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</si>
  <si>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</si>
  <si>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</si>
  <si>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</si>
  <si>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</si>
  <si>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</si>
  <si>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</si>
  <si>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</si>
  <si>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</si>
  <si>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</si>
  <si>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</si>
  <si>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</si>
  <si>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</si>
  <si>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</si>
  <si>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</si>
  <si>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</si>
  <si>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</si>
  <si>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</si>
  <si>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</si>
  <si>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</si>
  <si>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</si>
  <si>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</si>
  <si>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</si>
  <si>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</si>
  <si>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</si>
  <si>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</si>
  <si>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</si>
  <si>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</si>
  <si>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</si>
  <si>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</si>
  <si>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</si>
  <si>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</si>
  <si>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</si>
  <si>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</si>
  <si>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</si>
  <si>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</si>
  <si>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</si>
  <si>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</si>
  <si>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</si>
  <si>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</si>
  <si>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</si>
  <si>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</si>
  <si>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</si>
  <si>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</si>
  <si>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</si>
  <si>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</si>
  <si>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</si>
  <si>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</si>
  <si>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</si>
  <si>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</si>
  <si>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</si>
  <si>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</si>
  <si>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</si>
  <si>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</si>
  <si>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</si>
  <si>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</si>
  <si>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</si>
  <si>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</si>
  <si>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</si>
  <si>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</si>
  <si>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</si>
  <si>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</si>
  <si>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</si>
  <si>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</si>
  <si>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</si>
  <si>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</si>
  <si>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</si>
  <si>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</si>
  <si>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</si>
  <si>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</si>
  <si>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</si>
  <si>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</si>
  <si>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</si>
  <si>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</si>
  <si>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</si>
  <si>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</si>
  <si>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</si>
  <si>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</si>
  <si>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</si>
  <si>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</si>
  <si>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</si>
  <si>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</si>
  <si>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</si>
  <si>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</si>
  <si>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</si>
  <si>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</si>
  <si>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</si>
  <si>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</si>
  <si>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</si>
  <si>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</si>
  <si>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</si>
  <si>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</si>
  <si>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</si>
  <si>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</si>
  <si>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</si>
  <si>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</si>
  <si>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</si>
  <si>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</si>
  <si>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</si>
  <si>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</si>
  <si>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</si>
  <si>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</si>
  <si>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</si>
  <si>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</si>
  <si>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</si>
  <si>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</si>
  <si>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</si>
  <si>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</si>
  <si>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</si>
  <si>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</si>
  <si>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</si>
  <si>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</si>
  <si>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</si>
  <si>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</si>
  <si>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</si>
  <si>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</si>
  <si>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</si>
  <si>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</si>
  <si>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</si>
  <si>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</si>
  <si>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</si>
  <si>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</si>
  <si>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</si>
  <si>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</si>
  <si>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</si>
  <si>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</si>
  <si>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</si>
  <si>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</si>
  <si>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</si>
  <si>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</si>
  <si>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</si>
  <si>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</si>
  <si>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</si>
  <si>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</si>
  <si>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</si>
  <si>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</si>
  <si>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</si>
  <si>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</si>
  <si>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</si>
  <si>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</si>
  <si>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</si>
  <si>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</si>
  <si>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</si>
  <si>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</si>
  <si>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</si>
  <si>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</si>
  <si>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</si>
  <si>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</si>
  <si>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</si>
  <si>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</si>
  <si>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</si>
  <si>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</si>
  <si>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</si>
  <si>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</si>
  <si>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</si>
  <si>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</si>
  <si>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</si>
  <si>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</si>
  <si>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</si>
  <si>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</si>
  <si>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</si>
  <si>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</si>
  <si>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</si>
  <si>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</si>
  <si>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</si>
  <si>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</si>
  <si>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</si>
  <si>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</si>
  <si>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</si>
  <si>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</si>
  <si>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</si>
  <si>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</si>
  <si>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</si>
  <si>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</si>
  <si>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</si>
  <si>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</si>
  <si>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</si>
  <si>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</si>
  <si>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</si>
  <si>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</si>
  <si>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</si>
  <si>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</si>
  <si>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</si>
  <si>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</si>
  <si>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</si>
  <si>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</si>
  <si>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</si>
  <si>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</si>
  <si>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</si>
  <si>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</si>
  <si>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</si>
  <si>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</si>
  <si>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</si>
  <si>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</si>
  <si>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</si>
  <si>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</si>
  <si>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</si>
  <si>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</si>
  <si>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</si>
  <si>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</si>
  <si>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</si>
  <si>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</si>
  <si>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</si>
  <si>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</si>
  <si>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</si>
  <si>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</si>
  <si>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</si>
  <si>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</si>
  <si>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</si>
  <si>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</si>
  <si>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</si>
  <si>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</si>
  <si>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</si>
  <si>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</si>
  <si>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</si>
  <si>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</si>
  <si>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</si>
  <si>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</si>
  <si>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</si>
  <si>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</si>
  <si>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</si>
  <si>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</si>
  <si>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</si>
  <si>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</si>
  <si>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</si>
  <si>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</si>
  <si>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</si>
  <si>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</si>
  <si>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</si>
  <si>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</si>
  <si>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</si>
  <si>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</si>
  <si>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</si>
  <si>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</si>
  <si>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</si>
  <si>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</si>
  <si>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</si>
  <si>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</si>
  <si>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</si>
  <si>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</si>
  <si>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</si>
  <si>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</si>
  <si>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</si>
  <si>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</si>
  <si>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</si>
  <si>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</si>
  <si>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</si>
  <si>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</si>
  <si>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</si>
  <si>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</si>
  <si>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</si>
  <si>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</si>
  <si>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</si>
  <si>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</si>
  <si>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</si>
  <si>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</si>
  <si>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</si>
  <si>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</si>
  <si>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</si>
  <si>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</si>
  <si>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</si>
  <si>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</si>
  <si>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</si>
  <si>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</si>
  <si>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</si>
  <si>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</si>
  <si>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</si>
  <si>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</si>
  <si>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</si>
  <si>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</si>
  <si>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</si>
  <si>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</si>
  <si>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</si>
  <si>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</si>
  <si>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</si>
  <si>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</si>
  <si>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</si>
  <si>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</si>
  <si>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</si>
  <si>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</si>
  <si>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</si>
  <si>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</si>
  <si>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</si>
  <si>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</si>
  <si>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</si>
  <si>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</si>
  <si>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</si>
  <si>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</si>
  <si>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</si>
  <si>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</si>
  <si>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</si>
  <si>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</si>
  <si>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</si>
  <si>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</si>
  <si>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</si>
  <si>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</si>
  <si>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</si>
  <si>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</si>
  <si>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</si>
  <si>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</si>
  <si>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</si>
  <si>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</si>
  <si>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</si>
  <si>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</si>
  <si>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</si>
  <si>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</si>
  <si>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</si>
  <si>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</si>
  <si>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</si>
  <si>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</si>
  <si>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</si>
  <si>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</si>
  <si>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</si>
  <si>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</si>
  <si>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</si>
  <si>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</si>
  <si>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</si>
  <si>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</si>
  <si>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</si>
  <si>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</si>
  <si>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</si>
  <si>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</si>
  <si>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</si>
  <si>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</si>
  <si>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</si>
  <si>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</si>
  <si>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</si>
  <si>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</si>
  <si>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</si>
  <si>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</si>
  <si>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</si>
  <si>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</si>
  <si>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</si>
  <si>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</si>
  <si>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</si>
  <si>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</si>
  <si>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</si>
  <si>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</si>
  <si>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</si>
  <si>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</si>
  <si>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</si>
  <si>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</si>
  <si>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</si>
  <si>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</si>
  <si>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</si>
  <si>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</si>
  <si>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</si>
  <si>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</si>
  <si>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</si>
  <si>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</si>
  <si>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</si>
  <si>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</si>
  <si>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</si>
  <si>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</si>
  <si>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</si>
  <si>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</si>
  <si>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</si>
  <si>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</si>
  <si>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</si>
  <si>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</si>
  <si>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</si>
  <si>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</si>
  <si>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</si>
  <si>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</si>
  <si>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</si>
  <si>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</si>
  <si>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</si>
  <si>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</si>
  <si>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</si>
  <si>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</si>
  <si>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</si>
  <si>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</si>
  <si>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</si>
  <si>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</si>
  <si>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</si>
  <si>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</si>
  <si>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</si>
  <si>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</si>
  <si>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</si>
  <si>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</si>
  <si>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</si>
  <si>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</si>
  <si>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</si>
  <si>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</si>
  <si>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</si>
  <si>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</si>
  <si>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</si>
  <si>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</si>
  <si>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</si>
  <si>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</si>
  <si>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</si>
  <si>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</si>
  <si>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</si>
  <si>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</si>
  <si>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</si>
  <si>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</si>
  <si>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</si>
  <si>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</si>
  <si>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</si>
  <si>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</si>
  <si>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</si>
  <si>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</si>
  <si>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</si>
  <si>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</si>
  <si>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</si>
  <si>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</si>
  <si>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</si>
  <si>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</si>
  <si>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</si>
  <si>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</si>
  <si>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</si>
  <si>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</si>
  <si>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</si>
  <si>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Reell Precision Manufacturing Corporation</t>
  </si>
  <si>
    <t>Craig Lundgren</t>
  </si>
  <si>
    <t>craig.lundgren@reell.com</t>
  </si>
  <si>
    <t>+1 651-486-3370</t>
  </si>
  <si>
    <t>Principal Compliance and Data Engineer</t>
  </si>
  <si>
    <t>CID003387 - On the Conformant List for Tin smelters. Last Assessment: 05/08/2026</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</si>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</sst>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1">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0" borderId="58" xfId="0" quotePrefix="1"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quotePrefix="1"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2383881</xdr:colOff>
      <xdr:row>2</xdr:row>
      <xdr:rowOff>1354273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1812116</xdr:colOff>
      <xdr:row>2</xdr:row>
      <xdr:rowOff>972300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craig.lundgren@reell.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craig.lundgren@reell.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81640625" customWidth="1"/>
    <col min="2" max="2" width="8" customWidth="1"/>
    <col min="3" max="3" width="8.6328125" customWidth="1"/>
    <col min="4" max="4" width="13" style="164" customWidth="1"/>
    <col min="5" max="5" width="42.36328125" customWidth="1"/>
    <col min="6" max="6" width="53.36328125" customWidth="1"/>
    <col min="7" max="7" width="0.81640625" customWidth="1"/>
  </cols>
  <sheetData>
    <row r="1" spans="1:7" ht="13.2" thickTop="1">
      <c r="A1" s="6"/>
      <c r="B1" s="7"/>
      <c r="C1" s="7"/>
      <c r="D1" s="158"/>
      <c r="E1" s="7"/>
      <c r="F1" s="7"/>
      <c r="G1" s="8"/>
    </row>
    <row r="2" spans="1:7">
      <c r="A2" s="362"/>
      <c r="B2" s="4" t="s">
        <v>807</v>
      </c>
      <c r="C2" s="2"/>
      <c r="D2" s="159"/>
      <c r="E2" s="2"/>
      <c r="F2" s="2"/>
      <c r="G2" s="24"/>
    </row>
    <row r="3" spans="1:7">
      <c r="A3" s="362"/>
      <c r="B3" s="2" t="s">
        <v>800</v>
      </c>
      <c r="C3" s="4"/>
      <c r="D3" s="160"/>
      <c r="E3" s="2"/>
      <c r="F3" s="4"/>
      <c r="G3" s="24"/>
    </row>
    <row r="4" spans="1:7" ht="15">
      <c r="A4" s="362"/>
      <c r="B4" s="27" t="s">
        <v>809</v>
      </c>
      <c r="C4" s="5"/>
      <c r="D4" s="161"/>
      <c r="E4" s="2"/>
      <c r="F4" s="5"/>
      <c r="G4" s="24"/>
    </row>
    <row r="5" spans="1:7" ht="13.2">
      <c r="A5" s="362"/>
      <c r="B5" s="26" t="s">
        <v>998</v>
      </c>
      <c r="C5" s="3"/>
      <c r="D5" s="162"/>
      <c r="E5" s="2"/>
      <c r="F5" s="3"/>
      <c r="G5" s="24"/>
    </row>
    <row r="6" spans="1:7">
      <c r="A6" s="362"/>
      <c r="B6" s="2"/>
      <c r="C6" s="2"/>
      <c r="D6" s="159"/>
      <c r="E6" s="2"/>
      <c r="F6" s="2"/>
      <c r="G6" s="24"/>
    </row>
    <row r="7" spans="1:7">
      <c r="A7" s="362"/>
      <c r="B7" s="2"/>
      <c r="C7" s="2"/>
      <c r="D7" s="159"/>
      <c r="E7" s="2"/>
      <c r="F7" s="2"/>
      <c r="G7" s="24"/>
    </row>
    <row r="8" spans="1:7">
      <c r="A8" s="362"/>
      <c r="B8" s="2"/>
      <c r="C8" s="2"/>
      <c r="D8" s="159"/>
      <c r="E8" s="2"/>
      <c r="F8" s="2"/>
      <c r="G8" s="24"/>
    </row>
    <row r="9" spans="1:7">
      <c r="A9" s="362"/>
      <c r="B9" s="365" t="s">
        <v>810</v>
      </c>
      <c r="C9" s="365"/>
      <c r="D9" s="365"/>
      <c r="E9" s="365"/>
      <c r="F9" s="365"/>
      <c r="G9" s="24"/>
    </row>
    <row r="10" spans="1:7" ht="27" customHeight="1">
      <c r="A10" s="362"/>
      <c r="B10" s="366" t="s">
        <v>423</v>
      </c>
      <c r="C10" s="366"/>
      <c r="D10" s="366"/>
      <c r="E10" s="366"/>
      <c r="F10" s="366"/>
      <c r="G10" s="24"/>
    </row>
    <row r="11" spans="1:7" ht="27" customHeight="1">
      <c r="A11" s="362"/>
      <c r="B11" s="367"/>
      <c r="C11" s="367"/>
      <c r="D11" s="367"/>
      <c r="E11" s="367"/>
      <c r="F11" s="367"/>
      <c r="G11" s="24"/>
    </row>
    <row r="12" spans="1:7">
      <c r="A12" s="362"/>
      <c r="B12" s="28" t="s">
        <v>808</v>
      </c>
      <c r="C12" s="29" t="s">
        <v>811</v>
      </c>
      <c r="D12" s="163" t="s">
        <v>812</v>
      </c>
      <c r="E12" s="29" t="s">
        <v>593</v>
      </c>
      <c r="F12" s="29" t="s">
        <v>594</v>
      </c>
      <c r="G12" s="24"/>
    </row>
    <row r="13" spans="1:7" ht="34.200000000000003">
      <c r="A13" s="362"/>
      <c r="B13" s="275">
        <v>1</v>
      </c>
      <c r="C13" s="276" t="s">
        <v>1046</v>
      </c>
      <c r="D13" s="277" t="s">
        <v>836</v>
      </c>
      <c r="E13" s="278" t="s">
        <v>813</v>
      </c>
      <c r="F13" s="278"/>
      <c r="G13" s="24"/>
    </row>
    <row r="14" spans="1:7" ht="45.6">
      <c r="A14" s="362"/>
      <c r="B14" s="275">
        <v>2</v>
      </c>
      <c r="C14" s="276" t="s">
        <v>1046</v>
      </c>
      <c r="D14" s="277" t="s">
        <v>983</v>
      </c>
      <c r="E14" s="278" t="s">
        <v>513</v>
      </c>
      <c r="F14" s="278" t="s">
        <v>514</v>
      </c>
      <c r="G14" s="24"/>
    </row>
    <row r="15" spans="1:7" ht="89.1" customHeight="1">
      <c r="A15" s="362"/>
      <c r="B15" s="368">
        <v>2.0099999999999998</v>
      </c>
      <c r="C15" s="359" t="s">
        <v>1046</v>
      </c>
      <c r="D15" s="371" t="s">
        <v>2150</v>
      </c>
      <c r="E15" s="279" t="s">
        <v>595</v>
      </c>
      <c r="F15" s="279" t="s">
        <v>598</v>
      </c>
      <c r="G15" s="24"/>
    </row>
    <row r="16" spans="1:7" ht="99" customHeight="1">
      <c r="A16" s="362"/>
      <c r="B16" s="369"/>
      <c r="C16" s="360"/>
      <c r="D16" s="372"/>
      <c r="E16" s="280"/>
      <c r="F16" s="280" t="s">
        <v>596</v>
      </c>
      <c r="G16" s="24"/>
    </row>
    <row r="17" spans="1:7" ht="63" customHeight="1">
      <c r="A17" s="362"/>
      <c r="B17" s="370"/>
      <c r="C17" s="361"/>
      <c r="D17" s="373"/>
      <c r="E17" s="276"/>
      <c r="F17" s="276" t="s">
        <v>597</v>
      </c>
      <c r="G17" s="24"/>
    </row>
    <row r="18" spans="1:7" ht="117" customHeight="1">
      <c r="A18" s="362"/>
      <c r="B18" s="368">
        <v>2.02</v>
      </c>
      <c r="C18" s="359" t="s">
        <v>1046</v>
      </c>
      <c r="D18" s="371" t="s">
        <v>2151</v>
      </c>
      <c r="E18" s="279" t="s">
        <v>424</v>
      </c>
      <c r="F18" s="279" t="s">
        <v>508</v>
      </c>
      <c r="G18" s="24"/>
    </row>
    <row r="19" spans="1:7" ht="71.099999999999994" customHeight="1">
      <c r="A19" s="362"/>
      <c r="B19" s="369"/>
      <c r="C19" s="360"/>
      <c r="D19" s="372"/>
      <c r="E19" s="280" t="s">
        <v>512</v>
      </c>
      <c r="F19" s="280" t="s">
        <v>425</v>
      </c>
      <c r="G19" s="24"/>
    </row>
    <row r="20" spans="1:7" ht="90.75" customHeight="1">
      <c r="A20" s="362"/>
      <c r="B20" s="369"/>
      <c r="C20" s="360"/>
      <c r="D20" s="372"/>
      <c r="E20" s="280"/>
      <c r="F20" s="280" t="s">
        <v>600</v>
      </c>
      <c r="G20" s="24"/>
    </row>
    <row r="21" spans="1:7" ht="74.25" customHeight="1">
      <c r="A21" s="362"/>
      <c r="B21" s="370"/>
      <c r="C21" s="361"/>
      <c r="D21" s="373"/>
      <c r="E21" s="276"/>
      <c r="F21" s="276" t="s">
        <v>599</v>
      </c>
      <c r="G21" s="24"/>
    </row>
    <row r="22" spans="1:7" ht="90" customHeight="1">
      <c r="A22" s="362"/>
      <c r="B22" s="377">
        <v>2.0299999999999998</v>
      </c>
      <c r="C22" s="377" t="s">
        <v>783</v>
      </c>
      <c r="D22" s="380" t="s">
        <v>2152</v>
      </c>
      <c r="E22" s="359" t="s">
        <v>422</v>
      </c>
      <c r="F22" s="279" t="s">
        <v>445</v>
      </c>
      <c r="G22" s="24"/>
    </row>
    <row r="23" spans="1:7" ht="109.5" customHeight="1">
      <c r="A23" s="362"/>
      <c r="B23" s="378"/>
      <c r="C23" s="378"/>
      <c r="D23" s="381"/>
      <c r="E23" s="360"/>
      <c r="F23" s="280" t="s">
        <v>784</v>
      </c>
      <c r="G23" s="24"/>
    </row>
    <row r="24" spans="1:7" ht="74.25" customHeight="1">
      <c r="A24" s="362"/>
      <c r="B24" s="379"/>
      <c r="C24" s="379"/>
      <c r="D24" s="382"/>
      <c r="E24" s="361"/>
      <c r="F24" s="276" t="s">
        <v>421</v>
      </c>
      <c r="G24" s="24"/>
    </row>
    <row r="25" spans="1:7" ht="72" customHeight="1">
      <c r="A25" s="362"/>
      <c r="B25" s="275" t="s">
        <v>443</v>
      </c>
      <c r="C25" s="276" t="s">
        <v>444</v>
      </c>
      <c r="D25" s="277" t="s">
        <v>2153</v>
      </c>
      <c r="E25" s="276" t="s">
        <v>2148</v>
      </c>
      <c r="F25" s="276" t="s">
        <v>446</v>
      </c>
      <c r="G25" s="24"/>
    </row>
    <row r="26" spans="1:7" ht="98.1" customHeight="1">
      <c r="A26" s="362"/>
      <c r="B26" s="374">
        <v>3</v>
      </c>
      <c r="C26" s="368" t="s">
        <v>66</v>
      </c>
      <c r="D26" s="371" t="s">
        <v>2154</v>
      </c>
      <c r="E26" s="359" t="s">
        <v>0</v>
      </c>
      <c r="F26" s="279" t="s">
        <v>60</v>
      </c>
      <c r="G26" s="24"/>
    </row>
    <row r="27" spans="1:7" ht="90" customHeight="1">
      <c r="A27" s="362"/>
      <c r="B27" s="375"/>
      <c r="C27" s="369"/>
      <c r="D27" s="372"/>
      <c r="E27" s="360"/>
      <c r="F27" s="280" t="s">
        <v>55</v>
      </c>
      <c r="G27" s="24"/>
    </row>
    <row r="28" spans="1:7" ht="19.350000000000001" customHeight="1">
      <c r="A28" s="362"/>
      <c r="B28" s="375"/>
      <c r="C28" s="369"/>
      <c r="D28" s="372"/>
      <c r="E28" s="360"/>
      <c r="F28" s="280" t="s">
        <v>56</v>
      </c>
      <c r="G28" s="24"/>
    </row>
    <row r="29" spans="1:7" ht="74.55" customHeight="1">
      <c r="A29" s="362"/>
      <c r="B29" s="375"/>
      <c r="C29" s="369"/>
      <c r="D29" s="372"/>
      <c r="E29" s="360"/>
      <c r="F29" s="280" t="s">
        <v>57</v>
      </c>
      <c r="G29" s="24"/>
    </row>
    <row r="30" spans="1:7" ht="62.55" customHeight="1">
      <c r="A30" s="362"/>
      <c r="B30" s="375"/>
      <c r="C30" s="369"/>
      <c r="D30" s="372"/>
      <c r="E30" s="360"/>
      <c r="F30" s="280" t="s">
        <v>58</v>
      </c>
      <c r="G30" s="24"/>
    </row>
    <row r="31" spans="1:7" ht="81" customHeight="1">
      <c r="A31" s="362"/>
      <c r="B31" s="375"/>
      <c r="C31" s="369"/>
      <c r="D31" s="372"/>
      <c r="E31" s="360"/>
      <c r="F31" s="280" t="s">
        <v>59</v>
      </c>
      <c r="G31" s="24"/>
    </row>
    <row r="32" spans="1:7" ht="48.75" customHeight="1">
      <c r="A32" s="362"/>
      <c r="B32" s="375"/>
      <c r="C32" s="369"/>
      <c r="D32" s="372"/>
      <c r="E32" s="360"/>
      <c r="F32" s="280" t="s">
        <v>62</v>
      </c>
      <c r="G32" s="24"/>
    </row>
    <row r="33" spans="1:7" ht="98.55" customHeight="1">
      <c r="A33" s="362"/>
      <c r="B33" s="375"/>
      <c r="C33" s="369"/>
      <c r="D33" s="372"/>
      <c r="E33" s="360"/>
      <c r="F33" s="280" t="s">
        <v>61</v>
      </c>
      <c r="G33" s="24"/>
    </row>
    <row r="34" spans="1:7" ht="89.1" customHeight="1">
      <c r="A34" s="362"/>
      <c r="B34" s="375"/>
      <c r="C34" s="369"/>
      <c r="D34" s="372"/>
      <c r="E34" s="360"/>
      <c r="F34" s="280" t="s">
        <v>63</v>
      </c>
      <c r="G34" s="24"/>
    </row>
    <row r="35" spans="1:7" ht="29.1" customHeight="1">
      <c r="A35" s="362"/>
      <c r="B35" s="375"/>
      <c r="C35" s="369"/>
      <c r="D35" s="372"/>
      <c r="E35" s="360"/>
      <c r="F35" s="280" t="s">
        <v>64</v>
      </c>
      <c r="G35" s="24"/>
    </row>
    <row r="36" spans="1:7" ht="136.80000000000001">
      <c r="A36" s="362"/>
      <c r="B36" s="376"/>
      <c r="C36" s="370"/>
      <c r="D36" s="373"/>
      <c r="E36" s="361"/>
      <c r="F36" s="282" t="s">
        <v>65</v>
      </c>
      <c r="G36" s="24"/>
    </row>
    <row r="37" spans="1:7" ht="136.80000000000001">
      <c r="A37" s="362"/>
      <c r="B37" s="281">
        <v>3.01</v>
      </c>
      <c r="C37" s="283" t="s">
        <v>66</v>
      </c>
      <c r="D37" s="277" t="s">
        <v>2155</v>
      </c>
      <c r="E37" s="284" t="s">
        <v>1282</v>
      </c>
      <c r="F37" s="285" t="s">
        <v>1384</v>
      </c>
      <c r="G37" s="24"/>
    </row>
    <row r="38" spans="1:7" ht="114">
      <c r="A38" s="362"/>
      <c r="B38" s="281">
        <v>3.02</v>
      </c>
      <c r="C38" s="283" t="s">
        <v>1314</v>
      </c>
      <c r="D38" s="277" t="s">
        <v>2156</v>
      </c>
      <c r="E38" s="284" t="s">
        <v>1329</v>
      </c>
      <c r="F38" s="285" t="s">
        <v>1385</v>
      </c>
      <c r="G38" s="24"/>
    </row>
    <row r="39" spans="1:7" ht="102.6">
      <c r="A39" s="362"/>
      <c r="B39" s="286">
        <v>4</v>
      </c>
      <c r="C39" s="287" t="s">
        <v>1480</v>
      </c>
      <c r="D39" s="277" t="s">
        <v>2157</v>
      </c>
      <c r="E39" s="276" t="s">
        <v>2104</v>
      </c>
      <c r="F39" s="276" t="s">
        <v>1481</v>
      </c>
      <c r="G39" s="24"/>
    </row>
    <row r="40" spans="1:7" ht="57">
      <c r="A40" s="362"/>
      <c r="B40" s="281">
        <v>4.01</v>
      </c>
      <c r="C40" s="287" t="s">
        <v>1480</v>
      </c>
      <c r="D40" s="277" t="s">
        <v>2159</v>
      </c>
      <c r="E40" s="276" t="s">
        <v>2116</v>
      </c>
      <c r="F40" s="276" t="s">
        <v>2120</v>
      </c>
      <c r="G40" s="24"/>
    </row>
    <row r="41" spans="1:7" ht="57">
      <c r="A41" s="362"/>
      <c r="B41" s="281" t="s">
        <v>2146</v>
      </c>
      <c r="C41" s="287" t="s">
        <v>1480</v>
      </c>
      <c r="D41" s="277" t="s">
        <v>2158</v>
      </c>
      <c r="E41" s="276" t="s">
        <v>2149</v>
      </c>
      <c r="F41" s="276" t="s">
        <v>2147</v>
      </c>
      <c r="G41" s="24"/>
    </row>
    <row r="42" spans="1:7" ht="57">
      <c r="A42" s="362"/>
      <c r="B42" s="281" t="s">
        <v>2173</v>
      </c>
      <c r="C42" s="287" t="s">
        <v>1480</v>
      </c>
      <c r="D42" s="277" t="s">
        <v>2178</v>
      </c>
      <c r="E42" s="276" t="s">
        <v>2148</v>
      </c>
      <c r="F42" s="276" t="s">
        <v>2174</v>
      </c>
      <c r="G42" s="24"/>
    </row>
    <row r="43" spans="1:7" ht="171">
      <c r="A43" s="362"/>
      <c r="B43" s="288">
        <v>4.0999999999999996</v>
      </c>
      <c r="C43" s="287" t="s">
        <v>2177</v>
      </c>
      <c r="D43" s="289">
        <v>42867</v>
      </c>
      <c r="E43" s="290" t="s">
        <v>2180</v>
      </c>
      <c r="F43" s="276" t="s">
        <v>2179</v>
      </c>
      <c r="G43" s="24"/>
    </row>
    <row r="44" spans="1:7" ht="102.6">
      <c r="A44" s="362"/>
      <c r="B44" s="288">
        <v>4.2</v>
      </c>
      <c r="C44" s="287" t="s">
        <v>2177</v>
      </c>
      <c r="D44" s="289">
        <v>42704</v>
      </c>
      <c r="E44" s="290" t="s">
        <v>2369</v>
      </c>
      <c r="F44" s="276" t="s">
        <v>2344</v>
      </c>
      <c r="G44" s="24"/>
    </row>
    <row r="45" spans="1:7" ht="205.2">
      <c r="A45" s="362"/>
      <c r="B45" s="291">
        <v>5</v>
      </c>
      <c r="C45" s="287" t="s">
        <v>2177</v>
      </c>
      <c r="D45" s="289">
        <v>42867</v>
      </c>
      <c r="E45" s="290" t="s">
        <v>12256</v>
      </c>
      <c r="F45" s="276" t="s">
        <v>11978</v>
      </c>
      <c r="G45" s="24"/>
    </row>
    <row r="46" spans="1:7" ht="57">
      <c r="A46" s="362"/>
      <c r="B46" s="288">
        <v>5.01</v>
      </c>
      <c r="C46" s="287" t="s">
        <v>2177</v>
      </c>
      <c r="D46" s="289">
        <v>42907</v>
      </c>
      <c r="E46" s="290" t="s">
        <v>14886</v>
      </c>
      <c r="F46" s="276" t="s">
        <v>11978</v>
      </c>
      <c r="G46" s="24"/>
    </row>
    <row r="47" spans="1:7" ht="91.2">
      <c r="A47" s="362"/>
      <c r="B47" s="288">
        <v>5.0999999999999996</v>
      </c>
      <c r="C47" s="287" t="s">
        <v>2177</v>
      </c>
      <c r="D47" s="289">
        <v>43070</v>
      </c>
      <c r="E47" s="290" t="s">
        <v>12456</v>
      </c>
      <c r="F47" s="276" t="s">
        <v>12457</v>
      </c>
      <c r="G47" s="24"/>
    </row>
    <row r="48" spans="1:7" ht="79.8">
      <c r="A48" s="362"/>
      <c r="B48" s="288">
        <v>5.1100000000000003</v>
      </c>
      <c r="C48" s="287" t="s">
        <v>12684</v>
      </c>
      <c r="D48" s="289">
        <v>43217</v>
      </c>
      <c r="E48" s="290" t="s">
        <v>12786</v>
      </c>
      <c r="F48" s="276" t="s">
        <v>12711</v>
      </c>
      <c r="G48" s="24"/>
    </row>
    <row r="49" spans="1:7" ht="79.8">
      <c r="A49" s="362"/>
      <c r="B49" s="288">
        <v>5.12</v>
      </c>
      <c r="C49" s="287" t="s">
        <v>12684</v>
      </c>
      <c r="D49" s="289">
        <v>43581</v>
      </c>
      <c r="E49" s="290" t="s">
        <v>12786</v>
      </c>
      <c r="F49" s="276" t="s">
        <v>13315</v>
      </c>
      <c r="G49" s="24"/>
    </row>
    <row r="50" spans="1:7" ht="114">
      <c r="A50" s="362"/>
      <c r="B50" s="291">
        <v>6</v>
      </c>
      <c r="C50" s="287" t="s">
        <v>12684</v>
      </c>
      <c r="D50" s="289">
        <v>43964</v>
      </c>
      <c r="E50" s="290" t="s">
        <v>13527</v>
      </c>
      <c r="F50" s="276" t="s">
        <v>13318</v>
      </c>
      <c r="G50" s="24"/>
    </row>
    <row r="51" spans="1:7" ht="57">
      <c r="A51" s="362"/>
      <c r="B51" s="288">
        <v>6.01</v>
      </c>
      <c r="C51" s="287" t="s">
        <v>12684</v>
      </c>
      <c r="D51" s="289">
        <v>43970</v>
      </c>
      <c r="E51" s="290" t="s">
        <v>14887</v>
      </c>
      <c r="F51" s="290" t="s">
        <v>13318</v>
      </c>
      <c r="G51" s="24"/>
    </row>
    <row r="52" spans="1:7" ht="57">
      <c r="A52" s="362"/>
      <c r="B52" s="288">
        <v>6.1</v>
      </c>
      <c r="C52" s="287" t="s">
        <v>12684</v>
      </c>
      <c r="D52" s="289">
        <v>44314</v>
      </c>
      <c r="E52" s="290" t="s">
        <v>14880</v>
      </c>
      <c r="F52" s="290" t="s">
        <v>14487</v>
      </c>
      <c r="G52" s="24"/>
    </row>
    <row r="53" spans="1:7" ht="57">
      <c r="A53" s="362"/>
      <c r="B53" s="288">
        <v>6.2</v>
      </c>
      <c r="C53" s="287" t="s">
        <v>12684</v>
      </c>
      <c r="D53" s="289">
        <v>44678</v>
      </c>
      <c r="E53" s="290" t="s">
        <v>14880</v>
      </c>
      <c r="F53" s="290" t="s">
        <v>14879</v>
      </c>
      <c r="G53" s="24"/>
    </row>
    <row r="54" spans="1:7" ht="57">
      <c r="A54" s="362"/>
      <c r="B54" s="288">
        <v>6.21</v>
      </c>
      <c r="C54" s="287" t="s">
        <v>12684</v>
      </c>
      <c r="D54" s="289">
        <v>44687</v>
      </c>
      <c r="E54" s="290" t="s">
        <v>14888</v>
      </c>
      <c r="F54" s="290" t="s">
        <v>14879</v>
      </c>
      <c r="G54" s="24"/>
    </row>
    <row r="55" spans="1:7" ht="57">
      <c r="A55" s="362"/>
      <c r="B55" s="288">
        <v>6.22</v>
      </c>
      <c r="C55" s="287" t="s">
        <v>12684</v>
      </c>
      <c r="D55" s="292">
        <v>44692</v>
      </c>
      <c r="E55" s="290" t="s">
        <v>14887</v>
      </c>
      <c r="F55" s="290" t="s">
        <v>14879</v>
      </c>
      <c r="G55" s="24"/>
    </row>
    <row r="56" spans="1:7" ht="79.8">
      <c r="A56" s="362"/>
      <c r="B56" s="291">
        <v>6.3</v>
      </c>
      <c r="C56" s="287" t="s">
        <v>12684</v>
      </c>
      <c r="D56" s="292">
        <v>45051</v>
      </c>
      <c r="E56" s="290" t="s">
        <v>15144</v>
      </c>
      <c r="F56" s="290" t="s">
        <v>14925</v>
      </c>
      <c r="G56" s="24"/>
    </row>
    <row r="57" spans="1:7" ht="57">
      <c r="A57" s="362"/>
      <c r="B57" s="288">
        <v>6.31</v>
      </c>
      <c r="C57" s="287" t="s">
        <v>12684</v>
      </c>
      <c r="D57" s="292">
        <v>45072</v>
      </c>
      <c r="E57" s="290" t="s">
        <v>15146</v>
      </c>
      <c r="F57" s="290" t="s">
        <v>14925</v>
      </c>
      <c r="G57" s="24"/>
    </row>
    <row r="58" spans="1:7" ht="57">
      <c r="A58" s="362"/>
      <c r="B58" s="291">
        <v>6.4</v>
      </c>
      <c r="C58" s="287" t="s">
        <v>12684</v>
      </c>
      <c r="D58" s="292">
        <v>45408</v>
      </c>
      <c r="E58" s="290" t="s">
        <v>15148</v>
      </c>
      <c r="F58" s="290" t="s">
        <v>15147</v>
      </c>
      <c r="G58" s="24"/>
    </row>
    <row r="59" spans="1:7" ht="57">
      <c r="A59" s="362"/>
      <c r="B59" s="291">
        <v>6.5</v>
      </c>
      <c r="C59" s="287" t="s">
        <v>12684</v>
      </c>
      <c r="D59" s="292">
        <v>45772</v>
      </c>
      <c r="E59" s="290" t="s">
        <v>15217</v>
      </c>
      <c r="F59" s="290" t="s">
        <v>15259</v>
      </c>
      <c r="G59" s="24"/>
    </row>
    <row r="60" spans="1:7" ht="79.8">
      <c r="A60" s="362"/>
      <c r="B60" s="291">
        <v>6.6</v>
      </c>
      <c r="C60" s="287" t="s">
        <v>12684</v>
      </c>
      <c r="D60" s="292">
        <v>46129</v>
      </c>
      <c r="E60" s="290" t="s">
        <v>15870</v>
      </c>
      <c r="F60" s="293" t="s">
        <v>15352</v>
      </c>
      <c r="G60" s="24"/>
    </row>
    <row r="61" spans="1:7" ht="13.2" thickBot="1">
      <c r="A61" s="363"/>
      <c r="B61" s="364" t="str">
        <f ca="1">OFFSET(L!$C$1,MATCH("General"&amp;"Cpy",L!$A:$A,0)-1,SL,,)</f>
        <v>© 2026 Responsible Minerals Initiative. All rights reserved.</v>
      </c>
      <c r="C61" s="364"/>
      <c r="D61" s="364"/>
      <c r="E61" s="364"/>
      <c r="F61" s="364"/>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5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8"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5" customHeight="1">
      <c r="A52" s="99" t="str">
        <f ca="1">OFFSET(L!$C$1,MATCH("Instructions"&amp;ADDRESS(ROW(),COLUMN(),4),L!$A:$A,0)-1,SL,,)</f>
        <v>2. Metal (*)   -   Use the pull down menu to select the metal for which you are entering smelter information.  This field is mandatory.</v>
      </c>
      <c r="B52" s="97"/>
    </row>
    <row r="53" spans="1:2" ht="79.0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5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5000000000001"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83"/>
      <c r="B1" s="384"/>
      <c r="C1" s="384"/>
      <c r="D1" s="385"/>
    </row>
    <row r="2" spans="1:5" ht="71.25" customHeight="1">
      <c r="A2" s="71"/>
      <c r="B2" s="134" t="str">
        <f ca="1">OFFSET(L!$C$1,MATCH("Definitions"&amp;ADDRESS(ROW(),COLUMN(),4),L!$A:$A,0)-1,SL,,)</f>
        <v>ITEM</v>
      </c>
      <c r="C2" s="134" t="str">
        <f ca="1">OFFSET(L!$C$1,MATCH("Definitions"&amp;ADDRESS(ROW(),COLUMN(),4),L!$A:$A,0)-1,SL,,)</f>
        <v>DEFINITION</v>
      </c>
      <c r="D2" s="387"/>
      <c r="E2" s="98"/>
    </row>
    <row r="3" spans="1:5" ht="64.05" customHeight="1">
      <c r="A3" s="71"/>
      <c r="B3" s="60" t="str">
        <f ca="1">OFFSET(L!$C$1,MATCH("Definitions"&amp;ADDRESS(ROW(),COLUMN(),4),L!$A:$A,0)-1,SL,,)</f>
        <v>3TG</v>
      </c>
      <c r="C3" s="60" t="str">
        <f ca="1">OFFSET(L!$C$1,MATCH("Definitions"&amp;ADDRESS(ROW(),COLUMN(),4),L!$A:$A,0)-1,SL,,)</f>
        <v>Tantalum, tin, tungsten, gold</v>
      </c>
      <c r="D3" s="387"/>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7"/>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7"/>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7"/>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7"/>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7"/>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7"/>
      <c r="E9" s="97" t="s">
        <v>1267</v>
      </c>
    </row>
    <row r="10" spans="1:5" ht="48.6">
      <c r="A10" s="71"/>
      <c r="B10" s="60" t="str">
        <f ca="1">OFFSET(L!$C$1,MATCH("Definitions"&amp;ADDRESS(ROW(),COLUMN(),4),L!$A:$A,0)-1,SL,,)</f>
        <v>DRC</v>
      </c>
      <c r="C10" s="60" t="str">
        <f ca="1">OFFSET(L!$C$1,MATCH("Definitions"&amp;ADDRESS(ROW(),COLUMN(),4),L!$A:$A,0)-1,SL,,)</f>
        <v>Democratic Republic of Congo</v>
      </c>
      <c r="D10" s="387"/>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7"/>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7"/>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7"/>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7"/>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7"/>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7"/>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7"/>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7"/>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87"/>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7"/>
      <c r="E20" s="97"/>
    </row>
    <row r="21" spans="1:5" ht="16.2">
      <c r="A21" s="71"/>
      <c r="B21" s="60" t="str">
        <f ca="1">OFFSET(L!$C$1,MATCH("Definitions"&amp;ADDRESS(ROW(),COLUMN(),4),L!$A:$A,0)-1,SL,,)</f>
        <v>RBA</v>
      </c>
      <c r="C21" s="60" t="str">
        <f ca="1">OFFSET(L!$C$1,MATCH("Definitions"&amp;ADDRESS(ROW(),COLUMN(),4),L!$A:$A,0)-1,SL,,)</f>
        <v>Responsible Business Alliance (www.responsiblebusiness.org)</v>
      </c>
      <c r="D21" s="387"/>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7"/>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7"/>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7"/>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7"/>
      <c r="E25" s="97" t="s">
        <v>1266</v>
      </c>
    </row>
    <row r="26" spans="1:5" ht="81">
      <c r="A26" s="71"/>
      <c r="B26" s="60" t="str">
        <f ca="1">OFFSET(L!$C$1,MATCH("Definitions"&amp;ADDRESS(ROW(),COLUMN(),4),L!$A:$A,0)-1,SL,,)</f>
        <v>SEC</v>
      </c>
      <c r="C26" s="60" t="str">
        <f ca="1">OFFSET(L!$C$1,MATCH("Definitions"&amp;ADDRESS(ROW(),COLUMN(),4),L!$A:$A,0)-1,SL,,)</f>
        <v>U.S. Securities and Exchange Commission (www.sec.gov)</v>
      </c>
      <c r="D26" s="387"/>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7"/>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7"/>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7"/>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7"/>
      <c r="E30" s="97" t="s">
        <v>1269</v>
      </c>
    </row>
    <row r="31" spans="1:5" ht="133.05000000000001"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7"/>
      <c r="E31" s="97"/>
    </row>
    <row r="32" spans="1:5" ht="16.2">
      <c r="A32" s="71"/>
      <c r="B32" s="386" t="str">
        <f ca="1">OFFSET(L!$C$1,MATCH("General"&amp;"Cpy",L!$A:$A,0)-1,SL,,)</f>
        <v>© 2026 Responsible Minerals Initiative. All rights reserved.</v>
      </c>
      <c r="C32" s="386"/>
      <c r="D32" s="387"/>
      <c r="E32" s="97"/>
    </row>
    <row r="33" spans="1:4" ht="13.2" thickBot="1">
      <c r="A33" s="72"/>
      <c r="B33" s="146"/>
      <c r="C33" s="146"/>
      <c r="D33" s="388"/>
    </row>
    <row r="34" spans="1:4" ht="13.2"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10" sqref="D10:J10"/>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12"/>
      <c r="B1" s="313"/>
      <c r="C1" s="313"/>
      <c r="D1" s="313"/>
      <c r="E1" s="313"/>
      <c r="F1" s="313"/>
      <c r="G1" s="313"/>
      <c r="H1" s="313"/>
      <c r="I1" s="313"/>
      <c r="J1" s="313"/>
      <c r="K1" s="314"/>
      <c r="L1" s="97"/>
      <c r="P1" s="2"/>
      <c r="Q1" s="2"/>
      <c r="R1" s="2"/>
      <c r="S1" s="2"/>
      <c r="T1" s="2"/>
      <c r="U1" s="2"/>
      <c r="V1" s="2"/>
      <c r="W1" s="2"/>
      <c r="X1" s="2"/>
      <c r="Y1" s="2"/>
      <c r="Z1" s="2"/>
      <c r="AA1" s="2"/>
      <c r="AB1" s="2"/>
      <c r="AC1" s="2"/>
      <c r="AD1" s="2"/>
      <c r="AE1" s="2"/>
      <c r="AF1" s="2"/>
      <c r="AG1" s="2"/>
      <c r="AH1" s="2"/>
    </row>
    <row r="2" spans="1:34" ht="82.35" customHeight="1">
      <c r="A2" s="31"/>
      <c r="B2" s="133"/>
      <c r="C2" s="32"/>
      <c r="D2" s="315" t="str">
        <f ca="1">OFFSET(L!$C$1,MATCH("Declaration"&amp;ADDRESS(ROW(),COLUMN(),4),L!$A:$A,0)-1,SL,,)</f>
        <v>Conflict Minerals Reporting Template (CMRT)</v>
      </c>
      <c r="E2" s="316"/>
      <c r="F2" s="316"/>
      <c r="G2" s="316"/>
      <c r="H2" s="316"/>
      <c r="I2" s="316"/>
      <c r="J2" s="31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29"/>
      <c r="G3" s="329"/>
      <c r="H3" s="329"/>
      <c r="I3" s="145"/>
      <c r="J3" s="135" t="s">
        <v>15370</v>
      </c>
      <c r="K3" s="33"/>
      <c r="L3" s="97"/>
      <c r="P3" s="42">
        <f>MATCH($D$3,LN,0)</f>
        <v>1</v>
      </c>
    </row>
    <row r="4" spans="1:34" ht="16.2">
      <c r="A4" s="31"/>
      <c r="B4" s="324" t="str">
        <f ca="1">OFFSET(L!$C$1,MATCH("Declaration"&amp;ADDRESS(ROW(),COLUMN(),4),L!$A:$A,0)-1,SL,,)</f>
        <v>The purpose of this document is to collect sourcing information on tin, tantalum, tungsten and gold used in products</v>
      </c>
      <c r="C4" s="324"/>
      <c r="D4" s="324"/>
      <c r="E4" s="324"/>
      <c r="F4" s="324"/>
      <c r="G4" s="324"/>
      <c r="H4" s="324"/>
      <c r="I4" s="330" t="str">
        <f ca="1">OFFSET(L!$C$1,MATCH("Declaration"&amp;ADDRESS(ROW(),COLUMN(),4),L!$A:$A,0)-1,SL,,)</f>
        <v>Link to Terms &amp; Conditions</v>
      </c>
      <c r="J4" s="330"/>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24" t="str">
        <f ca="1">OFFSET(L!$C$1,MATCH("Declaration"&amp;ADDRESS(ROW(),COLUMN(),4),L!$A:$A,0)-1,SL,,)</f>
        <v>Mandatory fields are noted with an asterisk (*).  Consult the instructions tab for guidance on how to answer each question.</v>
      </c>
      <c r="C6" s="324"/>
      <c r="D6" s="324"/>
      <c r="E6" s="324"/>
      <c r="F6" s="324"/>
      <c r="G6" s="324"/>
      <c r="H6" s="324"/>
      <c r="I6" s="324"/>
      <c r="J6" s="324"/>
      <c r="K6" s="33"/>
      <c r="L6" s="112" t="s">
        <v>428</v>
      </c>
      <c r="P6" s="2"/>
      <c r="Q6" s="2"/>
      <c r="R6" s="2"/>
      <c r="S6" s="2"/>
      <c r="T6" s="2"/>
      <c r="U6" s="2"/>
      <c r="V6" s="2"/>
      <c r="W6" s="2"/>
      <c r="X6" s="2"/>
      <c r="Y6" s="2"/>
      <c r="Z6" s="2"/>
      <c r="AA6" s="2"/>
      <c r="AB6" s="2"/>
      <c r="AC6" s="2"/>
      <c r="AD6" s="2"/>
      <c r="AE6" s="2"/>
      <c r="AF6" s="2"/>
      <c r="AG6" s="2"/>
      <c r="AH6" s="2"/>
    </row>
    <row r="7" spans="1:34" ht="37.049999999999997" customHeight="1">
      <c r="A7" s="31"/>
      <c r="B7" s="334" t="str">
        <f ca="1">OFFSET(L!$C$1,MATCH("Declaration"&amp;ADDRESS(ROW(),COLUMN(),4),L!$A:$A,0)-1,SL,,)</f>
        <v>Company Information</v>
      </c>
      <c r="C7" s="334"/>
      <c r="D7" s="334"/>
      <c r="E7" s="334"/>
      <c r="F7" s="334"/>
      <c r="G7" s="334"/>
      <c r="H7" s="334"/>
      <c r="I7" s="334"/>
      <c r="J7" s="334"/>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18" t="s">
        <v>15879</v>
      </c>
      <c r="E8" s="319"/>
      <c r="F8" s="319"/>
      <c r="G8" s="319"/>
      <c r="H8" s="319"/>
      <c r="I8" s="319"/>
      <c r="J8" s="320"/>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31" t="s">
        <v>479</v>
      </c>
      <c r="E9" s="332"/>
      <c r="F9" s="332"/>
      <c r="G9" s="333"/>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335" t="str">
        <f ca="1">OFFSET(L!$C$1,MATCH("Declaration"&amp;ADDRESS(ROW(),COLUMN(),4)&amp;LEFT($D$9,1),L!$A:$A,0)-1,SL,,)</f>
        <v>Description of Scope:</v>
      </c>
      <c r="C10" s="119"/>
      <c r="D10" s="325"/>
      <c r="E10" s="326"/>
      <c r="F10" s="326"/>
      <c r="G10" s="326"/>
      <c r="H10" s="326"/>
      <c r="I10" s="326"/>
      <c r="J10" s="327"/>
      <c r="K10" s="33"/>
      <c r="L10" s="112"/>
      <c r="Q10" s="2"/>
      <c r="R10" s="2"/>
      <c r="S10" s="2"/>
      <c r="T10" s="2"/>
      <c r="U10" s="2"/>
      <c r="V10" s="2"/>
      <c r="W10" s="2"/>
      <c r="X10" s="2"/>
      <c r="Y10" s="2"/>
      <c r="Z10" s="2"/>
      <c r="AA10" s="2"/>
      <c r="AB10" s="2"/>
      <c r="AC10" s="2"/>
      <c r="AD10" s="2"/>
      <c r="AE10" s="2"/>
      <c r="AF10" s="2"/>
      <c r="AG10" s="2"/>
      <c r="AH10" s="2"/>
    </row>
    <row r="11" spans="1:34" ht="16.2">
      <c r="A11" s="35"/>
      <c r="B11" s="336"/>
      <c r="C11" s="119"/>
      <c r="D11" s="342" t="str">
        <f ca="1">IF(D9=Q9,OFFSET(L!$C$1,MATCH("Declaration"&amp;ADDRESS(ROW(),COLUMN(),4),L!$A:$A,0)-1,SL,,),"")</f>
        <v/>
      </c>
      <c r="E11" s="343"/>
      <c r="F11" s="343"/>
      <c r="G11" s="343"/>
      <c r="H11" s="343"/>
      <c r="I11" s="343"/>
      <c r="J11" s="344"/>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8"/>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8"/>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8"/>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8" t="s">
        <v>15880</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37" t="s">
        <v>15881</v>
      </c>
      <c r="E16" s="338"/>
      <c r="F16" s="338"/>
      <c r="G16" s="338"/>
      <c r="H16" s="338"/>
      <c r="I16" s="338"/>
      <c r="J16" s="339"/>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21" t="s">
        <v>15882</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55" t="s">
        <v>15880</v>
      </c>
      <c r="E18" s="356"/>
      <c r="F18" s="356"/>
      <c r="G18" s="356"/>
      <c r="H18" s="356"/>
      <c r="I18" s="356"/>
      <c r="J18" s="357"/>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8" t="s">
        <v>15883</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37" t="s">
        <v>15881</v>
      </c>
      <c r="E20" s="338"/>
      <c r="F20" s="338"/>
      <c r="G20" s="338"/>
      <c r="H20" s="338"/>
      <c r="I20" s="338"/>
      <c r="J20" s="339"/>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294" t="s">
        <v>15882</v>
      </c>
      <c r="E21" s="295"/>
      <c r="F21" s="295"/>
      <c r="G21" s="295"/>
      <c r="H21" s="295"/>
      <c r="I21" s="295"/>
      <c r="J21" s="296"/>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299">
        <v>46304</v>
      </c>
      <c r="E22" s="30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47"/>
      <c r="E23" s="347"/>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01" t="str">
        <f ca="1">OFFSET(L!$C$1,MATCH("Declaration"&amp;ADDRESS(ROW(),COLUMN(),4),L!$A:$A,0)-1,SL,,)</f>
        <v>Answer the following questions 1 - 8 based on the declaration scope indicated above</v>
      </c>
      <c r="C24" s="301"/>
      <c r="D24" s="301"/>
      <c r="E24" s="301"/>
      <c r="F24" s="301"/>
      <c r="G24" s="301"/>
      <c r="H24" s="301"/>
      <c r="I24" s="301"/>
      <c r="J24" s="30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8" t="str">
        <f ca="1">OFFSET(L!$C$1,MATCH("Declaration"&amp;ADDRESS(ROW(),COLUMN(),4),L!$A:$A,0)-1,SL,,)</f>
        <v>Answer</v>
      </c>
      <c r="E25" s="30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297" t="s">
        <v>474</v>
      </c>
      <c r="E26" s="298"/>
      <c r="F26" s="11"/>
      <c r="G26" s="305"/>
      <c r="H26" s="306"/>
      <c r="I26" s="306"/>
      <c r="J26" s="307"/>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297" t="s">
        <v>473</v>
      </c>
      <c r="E27" s="298"/>
      <c r="F27" s="11"/>
      <c r="G27" s="305"/>
      <c r="H27" s="306"/>
      <c r="I27" s="306"/>
      <c r="J27" s="307"/>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 xml:space="preserve">Gold  </v>
      </c>
      <c r="C28" s="32"/>
      <c r="D28" s="297" t="s">
        <v>474</v>
      </c>
      <c r="E28" s="298"/>
      <c r="F28" s="11"/>
      <c r="G28" s="305"/>
      <c r="H28" s="306"/>
      <c r="I28" s="306"/>
      <c r="J28" s="307"/>
      <c r="K28" s="33"/>
      <c r="L28" s="113"/>
      <c r="P28" s="42" t="str">
        <f>IF(D$28="No","","(*)")</f>
        <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297" t="s">
        <v>474</v>
      </c>
      <c r="E29" s="298"/>
      <c r="F29" s="11"/>
      <c r="G29" s="305"/>
      <c r="H29" s="306"/>
      <c r="I29" s="306"/>
      <c r="J29" s="307"/>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2" t="str">
        <f ca="1">D25</f>
        <v>Answer</v>
      </c>
      <c r="E31" s="302"/>
      <c r="F31" s="17"/>
      <c r="G31" s="41" t="str">
        <f ca="1">G25</f>
        <v>Comments</v>
      </c>
      <c r="H31" s="41"/>
      <c r="I31" s="41"/>
      <c r="J31" s="80"/>
      <c r="K31" s="33"/>
      <c r="L31" s="108" t="s">
        <v>1197</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03"/>
      <c r="E32" s="304"/>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297" t="s">
        <v>473</v>
      </c>
      <c r="E33" s="298"/>
      <c r="F33" s="44"/>
      <c r="G33" s="305"/>
      <c r="H33" s="306"/>
      <c r="I33" s="306"/>
      <c r="J33" s="307"/>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 xml:space="preserve">Gold  </v>
      </c>
      <c r="C34" s="9"/>
      <c r="D34" s="297"/>
      <c r="E34" s="298"/>
      <c r="F34" s="44"/>
      <c r="G34" s="305"/>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297"/>
      <c r="E35" s="298"/>
      <c r="F35" s="44"/>
      <c r="G35" s="305"/>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2" t="str">
        <f ca="1">D25</f>
        <v>Answer</v>
      </c>
      <c r="E37" s="302"/>
      <c r="F37" s="17"/>
      <c r="G37" s="41" t="str">
        <f ca="1">G25</f>
        <v>Comments</v>
      </c>
      <c r="H37" s="346"/>
      <c r="I37" s="346"/>
      <c r="J37" s="346"/>
      <c r="K37" s="33"/>
      <c r="L37" s="108" t="s">
        <v>1197</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297"/>
      <c r="E38" s="298"/>
      <c r="F38" s="44"/>
      <c r="G38" s="305"/>
      <c r="H38" s="306"/>
      <c r="I38" s="306"/>
      <c r="J38" s="307"/>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297" t="s">
        <v>473</v>
      </c>
      <c r="E39" s="298"/>
      <c r="F39" s="44"/>
      <c r="G39" s="305" t="s">
        <v>15884</v>
      </c>
      <c r="H39" s="306"/>
      <c r="I39" s="306"/>
      <c r="J39" s="307"/>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 xml:space="preserve">Gold  </v>
      </c>
      <c r="C40" s="9"/>
      <c r="D40" s="297"/>
      <c r="E40" s="298"/>
      <c r="F40" s="44"/>
      <c r="G40" s="305"/>
      <c r="H40" s="306"/>
      <c r="I40" s="306"/>
      <c r="J40" s="307"/>
      <c r="K40" s="33"/>
      <c r="L40" s="113"/>
      <c r="P40" s="42" t="str">
        <f>IF((OR(D$28="No",D$34="No")),"","(*)")</f>
        <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297"/>
      <c r="E41" s="298"/>
      <c r="F41" s="44"/>
      <c r="G41" s="305"/>
      <c r="H41" s="306"/>
      <c r="I41" s="306"/>
      <c r="J41" s="307"/>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2" t="str">
        <f ca="1">D25</f>
        <v>Answer</v>
      </c>
      <c r="E43" s="302"/>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305"/>
      <c r="H44" s="306"/>
      <c r="I44" s="306"/>
      <c r="J44" s="30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474</v>
      </c>
      <c r="E45" s="298"/>
      <c r="F45" s="44"/>
      <c r="G45" s="305"/>
      <c r="H45" s="306"/>
      <c r="I45" s="306"/>
      <c r="J45" s="30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7"/>
      <c r="E46" s="298"/>
      <c r="F46" s="44"/>
      <c r="G46" s="305"/>
      <c r="H46" s="306"/>
      <c r="I46" s="306"/>
      <c r="J46" s="307"/>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305"/>
      <c r="H47" s="306"/>
      <c r="I47" s="306"/>
      <c r="J47" s="307"/>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2" t="str">
        <f ca="1">D25</f>
        <v>Answer</v>
      </c>
      <c r="E49" s="30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297"/>
      <c r="E50" s="298"/>
      <c r="F50" s="44"/>
      <c r="G50" s="305"/>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297" t="s">
        <v>474</v>
      </c>
      <c r="E51" s="298"/>
      <c r="F51" s="44"/>
      <c r="G51" s="305"/>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 xml:space="preserve">Gold  </v>
      </c>
      <c r="C52" s="9"/>
      <c r="D52" s="297"/>
      <c r="E52" s="298"/>
      <c r="F52" s="44"/>
      <c r="G52" s="305"/>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297"/>
      <c r="E53" s="298"/>
      <c r="F53" s="44"/>
      <c r="G53" s="305"/>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2" t="str">
        <f ca="1">D25</f>
        <v>Answer</v>
      </c>
      <c r="E55" s="30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40"/>
      <c r="E56" s="341"/>
      <c r="F56" s="44"/>
      <c r="G56" s="305"/>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40" t="s">
        <v>15885</v>
      </c>
      <c r="E57" s="341"/>
      <c r="F57" s="44"/>
      <c r="G57" s="305"/>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 xml:space="preserve">Gold  </v>
      </c>
      <c r="C58" s="32"/>
      <c r="D58" s="340"/>
      <c r="E58" s="341"/>
      <c r="F58" s="44"/>
      <c r="G58" s="305"/>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40"/>
      <c r="E59" s="341"/>
      <c r="F59" s="44"/>
      <c r="G59" s="305"/>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2" t="str">
        <f ca="1">D25</f>
        <v>Answer</v>
      </c>
      <c r="E61" s="302"/>
      <c r="F61" s="17"/>
      <c r="G61" s="41" t="str">
        <f ca="1">G25</f>
        <v>Comments</v>
      </c>
      <c r="H61" s="345"/>
      <c r="I61" s="345"/>
      <c r="J61" s="345"/>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03"/>
      <c r="E62" s="304"/>
      <c r="F62" s="44"/>
      <c r="G62" s="305"/>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297" t="s">
        <v>473</v>
      </c>
      <c r="E63" s="298"/>
      <c r="F63" s="44"/>
      <c r="G63" s="305"/>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 xml:space="preserve">Gold  </v>
      </c>
      <c r="C64" s="9"/>
      <c r="D64" s="297"/>
      <c r="E64" s="298"/>
      <c r="F64" s="44"/>
      <c r="G64" s="305"/>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297"/>
      <c r="E65" s="298"/>
      <c r="F65" s="44"/>
      <c r="G65" s="305"/>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2" t="str">
        <f ca="1">D25</f>
        <v>Answer</v>
      </c>
      <c r="E67" s="302"/>
      <c r="F67" s="17"/>
      <c r="G67" s="41" t="str">
        <f ca="1">G25</f>
        <v>Comments</v>
      </c>
      <c r="H67" s="345" t="str">
        <f>IF(Q75="(*)","Click here to enter smelter names","")</f>
        <v/>
      </c>
      <c r="I67" s="345"/>
      <c r="J67" s="345"/>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297"/>
      <c r="E68" s="298"/>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297" t="s">
        <v>473</v>
      </c>
      <c r="E69" s="298"/>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 xml:space="preserve">Gold  </v>
      </c>
      <c r="C70" s="32"/>
      <c r="D70" s="297"/>
      <c r="E70" s="298"/>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297"/>
      <c r="E71" s="298"/>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58" t="str">
        <f ca="1">OFFSET(L!$C$1,MATCH("Declaration"&amp;ADDRESS(ROW(),COLUMN(),4),L!$A:$A,0)-1,SL,,)</f>
        <v>Answer the Following Questions at a Company Level</v>
      </c>
      <c r="C73" s="358"/>
      <c r="D73" s="358"/>
      <c r="E73" s="358"/>
      <c r="F73" s="358"/>
      <c r="G73" s="358"/>
      <c r="H73" s="358"/>
      <c r="I73" s="358"/>
      <c r="J73" s="358"/>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8" t="str">
        <f ca="1">D25</f>
        <v>Answer</v>
      </c>
      <c r="E74" s="308"/>
      <c r="F74" s="50"/>
      <c r="G74" s="308" t="str">
        <f ca="1">G25</f>
        <v>Comments</v>
      </c>
      <c r="H74" s="308" t="e">
        <f>HLOOKUP(SL,LT,$O74,0)</f>
        <v>#NAME?</v>
      </c>
      <c r="I74" s="30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297" t="s">
        <v>473</v>
      </c>
      <c r="E75" s="298"/>
      <c r="F75" s="54"/>
      <c r="G75" s="305"/>
      <c r="H75" s="306"/>
      <c r="I75" s="306"/>
      <c r="J75" s="307"/>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53"/>
      <c r="H76" s="353"/>
      <c r="I76" s="353"/>
      <c r="J76" s="353"/>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474</v>
      </c>
      <c r="E77" s="298"/>
      <c r="F77" s="54"/>
      <c r="G77" s="309"/>
      <c r="H77" s="310"/>
      <c r="I77" s="310"/>
      <c r="J77" s="311"/>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474</v>
      </c>
      <c r="E79" s="298"/>
      <c r="F79" s="54"/>
      <c r="G79" s="305"/>
      <c r="H79" s="306"/>
      <c r="I79" s="306"/>
      <c r="J79" s="307"/>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305"/>
      <c r="H81" s="306"/>
      <c r="I81" s="306"/>
      <c r="J81" s="307"/>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305"/>
      <c r="H83" s="306"/>
      <c r="I83" s="306"/>
      <c r="J83" s="307"/>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1" t="s">
        <v>473</v>
      </c>
      <c r="E85" s="352"/>
      <c r="F85" s="54"/>
      <c r="G85" s="305"/>
      <c r="H85" s="306"/>
      <c r="I85" s="306"/>
      <c r="J85" s="307"/>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53"/>
      <c r="H86" s="353"/>
      <c r="I86" s="353"/>
      <c r="J86" s="353"/>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305"/>
      <c r="H87" s="306"/>
      <c r="I87" s="306"/>
      <c r="J87" s="307"/>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54"/>
      <c r="H88" s="354"/>
      <c r="I88" s="354"/>
      <c r="J88" s="354"/>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297" t="s">
        <v>474</v>
      </c>
      <c r="E89" s="298"/>
      <c r="F89" s="54"/>
      <c r="G89" s="305"/>
      <c r="H89" s="306"/>
      <c r="I89" s="306"/>
      <c r="J89" s="307"/>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50" t="str">
        <f>IF(OR($D$8="",$I$3=""),"","Click here to check required fields completion")</f>
        <v/>
      </c>
      <c r="C90" s="350"/>
      <c r="D90" s="350"/>
      <c r="E90" s="350"/>
      <c r="F90" s="350"/>
      <c r="G90" s="350"/>
      <c r="H90" s="350"/>
      <c r="I90" s="350"/>
      <c r="J90" s="350"/>
      <c r="K90" s="33"/>
      <c r="L90" s="97"/>
      <c r="P90" s="2"/>
      <c r="Q90" s="2"/>
      <c r="R90" s="2"/>
      <c r="S90" s="2"/>
      <c r="T90" s="2"/>
      <c r="U90" s="2"/>
      <c r="V90" s="2"/>
      <c r="W90" s="2"/>
      <c r="X90" s="2"/>
      <c r="Y90" s="2"/>
      <c r="Z90" s="2"/>
      <c r="AA90" s="2"/>
      <c r="AB90" s="2"/>
      <c r="AC90" s="2"/>
      <c r="AD90" s="2"/>
      <c r="AE90" s="2"/>
      <c r="AF90" s="2"/>
      <c r="AG90" s="2"/>
      <c r="AH90" s="2"/>
    </row>
    <row r="91" spans="1:34" ht="16.8" thickBot="1">
      <c r="A91" s="348" t="str">
        <f ca="1">OFFSET(L!$C$1,MATCH("General"&amp;"Cpy",L!$A:$A,0)-1,SL,,)</f>
        <v>© 2026 Responsible Minerals Initiative. All rights reserved.</v>
      </c>
      <c r="B91" s="349"/>
      <c r="C91" s="349"/>
      <c r="D91" s="349"/>
      <c r="E91" s="349"/>
      <c r="F91" s="349"/>
      <c r="G91" s="349"/>
      <c r="H91" s="349"/>
      <c r="I91" s="349"/>
      <c r="J91" s="349"/>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
      </c>
    </row>
    <row r="101" spans="2:7" ht="15" hidden="1">
      <c r="B101" s="219" t="s">
        <v>2371</v>
      </c>
      <c r="D101" s="264" t="str">
        <f>IF(AND(OR($D$27="Yes",$D$27=""),OR($D$33="Yes",$D$33="")),"Unknown","")</f>
        <v>Unknown</v>
      </c>
      <c r="E101" s="264" t="str">
        <f>IF(AND(OR($D$26="Yes",$D$26=""),OR($D$32="Yes",$D$32="")),"None","")</f>
        <v/>
      </c>
      <c r="G101" s="264" t="str">
        <f>IF(OR($D$28="Yes",$D$28=""),"No","")</f>
        <v/>
      </c>
    </row>
    <row r="102" spans="2:7" ht="15" hidden="1">
      <c r="B102" s="219" t="s">
        <v>2372</v>
      </c>
      <c r="D102" s="264" t="str">
        <f>IF(AND(OR($D$28="Yes",$D$28=""),OR($D$34="Yes",$D$34="")),"Yes","")</f>
        <v/>
      </c>
      <c r="E102" s="264" t="str">
        <f>IF(AND(OR($D$27="Yes",$D$27=""),OR($D$33="Yes",$D$33="")),"100%","")</f>
        <v>100%</v>
      </c>
      <c r="G102" s="264" t="str">
        <f>IF(OR($D$29="Yes",$D$29=""),"Yes","")</f>
        <v/>
      </c>
    </row>
    <row r="103" spans="2:7" ht="15" hidden="1">
      <c r="B103" s="219" t="s">
        <v>2373</v>
      </c>
      <c r="D103" s="264" t="str">
        <f>IF(AND(OR($D$28="Yes",$D$28=""),OR($D$34="Yes",$D$34="")),"No","")</f>
        <v/>
      </c>
      <c r="E103" s="264" t="str">
        <f>IF(AND(OR($D$27="Yes",$D$27=""),OR($D$33="Yes",$D$33="")),"Greater than 90%","")</f>
        <v>Greater than 90%</v>
      </c>
      <c r="G103" s="264" t="str">
        <f>IF(OR($D$29="Yes",$D$29=""),"No","")</f>
        <v/>
      </c>
    </row>
    <row r="104" spans="2:7" ht="15" hidden="1">
      <c r="B104" s="219" t="s">
        <v>476</v>
      </c>
      <c r="D104" s="264" t="str">
        <f>IF(AND(OR($D$28="Yes",$D$28=""),OR($D$34="Yes",$D$34="")),"Unknown","")</f>
        <v/>
      </c>
      <c r="E104" s="264" t="str">
        <f>IF(AND(OR($D$27="Yes",$D$27=""),OR($D$33="Yes",$D$33="")),"Greater than 75%","")</f>
        <v>Greater than 75%</v>
      </c>
    </row>
    <row r="105" spans="2:7" ht="15" hidden="1">
      <c r="B105" s="219" t="s">
        <v>14427</v>
      </c>
      <c r="D105" s="264" t="str">
        <f>IF(AND(OR($D$29="Yes",$D$29=""),OR($D$35="Yes",$D$35="")),"Yes","")</f>
        <v/>
      </c>
      <c r="E105" s="264" t="str">
        <f>IF(AND(OR($D$27="Yes",$D$27=""),OR($D$33="Yes",$D$33="")),"Greater than 50%","")</f>
        <v>Greater than 50%</v>
      </c>
    </row>
    <row r="106" spans="2:7" ht="15" hidden="1">
      <c r="B106" s="219" t="s">
        <v>11949</v>
      </c>
      <c r="D106" s="264" t="str">
        <f>IF(AND(OR($D$29="Yes",$D$29=""),OR($D$35="Yes",$D$35="")),"No","")</f>
        <v/>
      </c>
      <c r="E106" s="264" t="str">
        <f>IF(AND(OR($D$27="Yes",$D$27=""),OR($D$33="Yes",$D$33="")),"50% or less","")</f>
        <v>50% or less</v>
      </c>
    </row>
    <row r="107" spans="2:7" ht="15" hidden="1">
      <c r="B107" s="219" t="s">
        <v>474</v>
      </c>
      <c r="D107" s="264" t="str">
        <f>IF(AND(OR($D$29="Yes",$D$29=""),OR($D$35="Yes",$D$35="")),"Unknown","")</f>
        <v/>
      </c>
      <c r="E107" s="264" t="str">
        <f>IF(AND(OR($D$27="Yes",$D$27=""),OR($D$33="Yes",$D$33="")),"None","")</f>
        <v>None</v>
      </c>
    </row>
    <row r="108" spans="2:7" ht="15" hidden="1">
      <c r="B108" s="219" t="s">
        <v>13454</v>
      </c>
      <c r="E108" s="264" t="str">
        <f>IF(AND(OR($D$28="Yes",$D$28=""),OR($D$34="Yes",$D$34="")),"100%","")</f>
        <v/>
      </c>
    </row>
    <row r="109" spans="2:7" ht="15" hidden="1">
      <c r="B109" s="219" t="s">
        <v>13456</v>
      </c>
      <c r="E109" s="264" t="str">
        <f>IF(AND(OR($D$28="Yes",$D$28=""),OR($D$34="Yes",$D$34="")),"Greater than 90%","")</f>
        <v/>
      </c>
    </row>
    <row r="110" spans="2:7" ht="15" hidden="1">
      <c r="B110" s="219" t="s">
        <v>13457</v>
      </c>
      <c r="E110" s="264" t="str">
        <f>IF(AND(OR($D$28="Yes",$D$28=""),OR($D$34="Yes",$D$34="")),"Greater than 75%","")</f>
        <v/>
      </c>
    </row>
    <row r="111" spans="2:7" ht="1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DA23232B-F557-4850-93DB-DE9FDA23C979}"/>
    <hyperlink ref="D20" r:id="rId4" xr:uid="{DE806E97-3C58-4EDC-80E4-F38B304DC12A}"/>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1" sqref="A51"/>
    </sheetView>
  </sheetViews>
  <sheetFormatPr defaultColWidth="8.81640625" defaultRowHeight="12.6"/>
  <cols>
    <col min="1" max="1" width="13.6328125" style="210" customWidth="1"/>
    <col min="2" max="2" width="13.36328125" style="212" customWidth="1"/>
    <col min="3" max="3" width="40.6328125" style="212" customWidth="1"/>
    <col min="4" max="4" width="30.6328125" style="212" customWidth="1"/>
    <col min="5" max="5" width="20.81640625" style="212" customWidth="1"/>
    <col min="6" max="7" width="13.81640625" style="212" customWidth="1"/>
    <col min="8" max="8" width="25.1796875" style="212" customWidth="1"/>
    <col min="9" max="9" width="24.1796875" style="212" customWidth="1"/>
    <col min="10" max="10" width="18.36328125" style="212" customWidth="1"/>
    <col min="11" max="11" width="27.36328125" style="212" customWidth="1"/>
    <col min="12" max="12" width="20.6328125" style="212" customWidth="1"/>
    <col min="13" max="13" width="35.1796875" style="212" customWidth="1"/>
    <col min="14" max="14" width="42.1796875" style="212" customWidth="1"/>
    <col min="15" max="15" width="32.1796875" style="212" customWidth="1"/>
    <col min="16" max="16" width="22.81640625" style="212" customWidth="1"/>
    <col min="17" max="17" width="43.6328125" style="212" customWidth="1"/>
    <col min="18" max="18" width="35.81640625" style="212" hidden="1" customWidth="1"/>
    <col min="19" max="20" width="17.81640625" style="212" hidden="1" customWidth="1"/>
    <col min="21" max="21" width="8.81640625" style="212" hidden="1" customWidth="1"/>
    <col min="22" max="22" width="6.1796875" style="212" hidden="1" customWidth="1"/>
    <col min="23" max="23" width="8.6328125" style="212" hidden="1" customWidth="1"/>
    <col min="24" max="24" width="8.81640625" style="212" hidden="1" customWidth="1"/>
    <col min="25" max="27" width="4.36328125" style="212" hidden="1" customWidth="1"/>
    <col min="28" max="28" width="7.81640625" style="212" hidden="1" customWidth="1"/>
    <col min="29" max="33" width="4.36328125" style="212" hidden="1" customWidth="1"/>
    <col min="34" max="34" width="14.6328125" style="212" hidden="1" customWidth="1"/>
    <col min="35" max="39" width="8.81640625" style="212" customWidth="1"/>
    <col min="40" max="16384" width="8.81640625" style="212"/>
  </cols>
  <sheetData>
    <row r="1" spans="1:34" s="204" customFormat="1" ht="16.0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9" t="str">
        <f ca="1">OFFSET(L!$C$1,MATCH("Smelter List"&amp;ADDRESS(ROW(),COLUMN(),4),L!$A:$A,0)-1,SL,,)</f>
        <v>Link to "RMAP Conformant Smelter List"</v>
      </c>
      <c r="K2" s="390"/>
      <c r="L2" s="390"/>
      <c r="M2" s="390"/>
      <c r="N2" s="390"/>
      <c r="O2" s="390"/>
      <c r="P2" s="179"/>
      <c r="Q2" s="180"/>
      <c r="R2" s="181"/>
      <c r="S2" s="181"/>
      <c r="T2" s="181"/>
      <c r="AH2" s="140" t="s">
        <v>473</v>
      </c>
    </row>
    <row r="3" spans="1:34" s="204" customFormat="1" ht="177" customHeight="1">
      <c r="A3" s="155"/>
      <c r="B3" s="39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1"/>
      <c r="D3" s="391"/>
      <c r="E3" s="391"/>
      <c r="F3" s="205"/>
      <c r="G3" s="392" t="str">
        <f ca="1">OFFSET(L!$C$1,MATCH("General"&amp;"Cpy",L!$A:$A,0)-1,SL,,)</f>
        <v>© 2026 Responsible Minerals Initiative. All rights reserved.</v>
      </c>
      <c r="H3" s="392"/>
      <c r="I3" s="393"/>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2175</v>
      </c>
      <c r="B5" s="166" t="str">
        <f ca="1">IF(LEN(A5)=0,"",INDEX('Smelter Look-up'!$A:$A,MATCH($A5,'Smelter Look-up'!$E:$E,0)))</f>
        <v>Tin</v>
      </c>
      <c r="C5" s="170" t="str">
        <f ca="1">IF(LEN(A5)=0,"",INDEX('Smelter Look-up'!$C:$C,MATCH($A5,'Smelter Look-up'!$E:$E,0)))</f>
        <v>Chenzhou Yunxiang Mining and Metallurgy Co., Ltd.</v>
      </c>
      <c r="D5" s="213"/>
      <c r="E5" s="166" t="str">
        <f ca="1">IF(ISERROR($V5),"",OFFSET('Smelter Look-up'!$D$4,$V5-4,0)&amp;"")</f>
        <v>CHINA</v>
      </c>
      <c r="F5" s="166" t="str">
        <f ca="1">IF(ISERROR($V5),"",OFFSET('Smelter Look-up'!$E$4,$V5-4,0))</f>
        <v>CID000228</v>
      </c>
      <c r="G5" s="166" t="str">
        <f ca="1">IF(C5=$X$4,IF(ISERROR($V5),"Enter smelter details","RMI"),IF(ISERROR($V5),"",OFFSET('Smelter Look-up'!$F$4,$V5-4,0)))</f>
        <v>RMI</v>
      </c>
      <c r="H5" s="167">
        <f ca="1">IF(ISERROR($V5),"",OFFSET('Smelter Look-up'!$G$4,$V5-4,0))</f>
        <v>0</v>
      </c>
      <c r="I5" s="168" t="str">
        <f ca="1">IF(ISERROR($V5),"",OFFSET('Smelter Look-up'!$H$4,$V5-4,0))</f>
        <v>Chenzhou</v>
      </c>
      <c r="J5" s="168" t="str">
        <f ca="1">IF(ISERROR($V5),"",OFFSET('Smelter Look-up'!$I$4,$V5-4,0))</f>
        <v>Hunan Sheng</v>
      </c>
      <c r="K5" s="207"/>
      <c r="L5" s="207"/>
      <c r="M5" s="207"/>
      <c r="N5" s="207"/>
      <c r="O5" s="207"/>
      <c r="P5" s="169"/>
      <c r="Q5" s="208"/>
      <c r="R5" s="166" t="str">
        <f ca="1">IF(ISERROR($V5),"",OFFSET('Smelter Look-up'!$C$4,$V5-4,0)&amp;"")</f>
        <v>Chenzhou Yunxiang Mining and Metallurgy Co., Ltd.</v>
      </c>
      <c r="S5" s="165" t="str">
        <f ca="1">IF(B5="","",IF(ISERROR(MATCH($E5,CL,0)),"Unknown",INDIRECT("'C'!$A$"&amp;MATCH($E5,CL,0)+1)))</f>
        <v>CN</v>
      </c>
      <c r="T5" s="165" t="str">
        <f ca="1">IF(B5="","",IF(ISERROR(MATCH($J5,SorP!$B$1:$B$6261,0)),"",INDIRECT("'SorP'!$A$"&amp;MATCH($S5&amp;$J5,SorP!C:C,0))))</f>
        <v>CN-HN</v>
      </c>
      <c r="U5" s="185"/>
      <c r="V5" s="209">
        <f ca="1">IF(C5="",NA(),IF(OR(C5="Smelter not listed",C5="Smelter not yet identified"),MATCH($B5&amp;$D5,'Smelter Look-up'!$J:$J,0),MATCH($B5&amp;$C5,'Smelter Look-up'!$J:$J,0)))</f>
        <v>428</v>
      </c>
      <c r="X5" s="210">
        <f t="shared" ref="X5" ca="1" si="0">IF(AND(C5="Smelter not listed",OR(LEN(D5)=0,LEN(E5)=0)),1,0)</f>
        <v>0</v>
      </c>
      <c r="AB5" s="211" t="str">
        <f t="shared" ref="AB5" ca="1" si="1">B5&amp;C5</f>
        <v>TinChenzhou Yunxiang Mining and Metallurgy Co., Ltd.</v>
      </c>
    </row>
    <row r="6" spans="1:34" s="210" customFormat="1" ht="20.100000000000001" customHeight="1">
      <c r="A6" s="245" t="s">
        <v>735</v>
      </c>
      <c r="B6" s="166" t="str">
        <f ca="1">IF(LEN(A6)=0,"",INDEX('Smelter Look-up'!$A:$A,MATCH($A6,'Smelter Look-up'!$E:$E,0)))</f>
        <v>Tin</v>
      </c>
      <c r="C6" s="170" t="str">
        <f ca="1">IF(LEN(A6)=0,"",INDEX('Smelter Look-up'!$C:$C,MATCH($A6,'Smelter Look-up'!$E:$E,0)))</f>
        <v>Alpha Assembly Solutions Inc</v>
      </c>
      <c r="D6" s="213"/>
      <c r="E6" s="166" t="str">
        <f ca="1">IF(ISERROR($V6),"",OFFSET('Smelter Look-up'!$D$4,$V6-4,0)&amp;"")</f>
        <v>UNITED STATES OF AMERICA</v>
      </c>
      <c r="F6" s="166" t="str">
        <f ca="1">IF(ISERROR($V6),"",OFFSET('Smelter Look-up'!$E$4,$V6-4,0))</f>
        <v>CID000292</v>
      </c>
      <c r="G6" s="166" t="str">
        <f ca="1">IF(C6=$X$4,IF(ISERROR($V6),"Enter smelter details","RMI"),IF(ISERROR($V6),"",OFFSET('Smelter Look-up'!$F$4,$V6-4,0)))</f>
        <v>RMI</v>
      </c>
      <c r="H6" s="167">
        <f ca="1">IF(ISERROR($V6),"",OFFSET('Smelter Look-up'!$G$4,$V6-4,0))</f>
        <v>0</v>
      </c>
      <c r="I6" s="168" t="str">
        <f ca="1">IF(ISERROR($V6),"",OFFSET('Smelter Look-up'!$H$4,$V6-4,0))</f>
        <v>Altoona</v>
      </c>
      <c r="J6" s="168" t="str">
        <f ca="1">IF(ISERROR($V6),"",OFFSET('Smelter Look-up'!$I$4,$V6-4,0))</f>
        <v>Pennsylvania</v>
      </c>
      <c r="K6" s="207"/>
      <c r="L6" s="207"/>
      <c r="M6" s="207"/>
      <c r="N6" s="207"/>
      <c r="O6" s="207"/>
      <c r="P6" s="169"/>
      <c r="Q6" s="208"/>
      <c r="R6" s="166" t="str">
        <f ca="1">IF(ISERROR($V6),"",OFFSET('Smelter Look-up'!$C$4,$V6-4,0)&amp;"")</f>
        <v>Alpha Assembly Solutions Inc</v>
      </c>
      <c r="S6" s="165" t="str">
        <f t="shared" ref="S6:S37" ca="1" si="2">IF(B6="","",IF(ISERROR(MATCH($E6,CL,0)),"Unknown",INDIRECT("'C'!$A$"&amp;MATCH($E6,CL,0)+1)))</f>
        <v>US</v>
      </c>
      <c r="T6" s="165" t="str">
        <f ca="1">IF(B6="","",IF(ISERROR(MATCH($J6,SorP!$B$1:$B$6261,0)),"",INDIRECT("'SorP'!$A$"&amp;MATCH($S6&amp;$J6,SorP!C:C,0))))</f>
        <v>US-PA</v>
      </c>
      <c r="U6" s="185"/>
      <c r="V6" s="209">
        <f ca="1">IF(C6="",NA(),IF(OR(C6="Smelter not listed",C6="Smelter not yet identified"),MATCH($B6&amp;$D6,'Smelter Look-up'!$J:$J,0),MATCH($B6&amp;$C6,'Smelter Look-up'!$J:$J,0)))</f>
        <v>418</v>
      </c>
      <c r="X6" s="210">
        <f t="shared" ref="X6:X37" ca="1" si="3">IF(AND(C6="Smelter not listed",OR(LEN(D6)=0,LEN(E6)=0)),1,0)</f>
        <v>0</v>
      </c>
      <c r="AB6" s="211" t="str">
        <f t="shared" ref="AB6:AB37" ca="1" si="4">B6&amp;C6</f>
        <v>TinAlpha Assembly Solutions Inc</v>
      </c>
    </row>
    <row r="7" spans="1:34" s="210" customFormat="1" ht="20.100000000000001" customHeight="1">
      <c r="A7" s="245" t="s">
        <v>14902</v>
      </c>
      <c r="B7" s="166" t="str">
        <f ca="1">IF(LEN(A7)=0,"",INDEX('Smelter Look-up'!$A:$A,MATCH($A7,'Smelter Look-up'!$E:$E,0)))</f>
        <v>Tin</v>
      </c>
      <c r="C7" s="170" t="str">
        <f ca="1">IF(LEN(A7)=0,"",INDEX('Smelter Look-up'!$C:$C,MATCH($A7,'Smelter Look-up'!$E:$E,0)))</f>
        <v>PT Premium Tin Indonesia</v>
      </c>
      <c r="D7" s="213"/>
      <c r="E7" s="166" t="str">
        <f ca="1">IF(ISERROR($V7),"",OFFSET('Smelter Look-up'!$D$4,$V7-4,0)&amp;"")</f>
        <v>INDONESIA</v>
      </c>
      <c r="F7" s="166" t="str">
        <f ca="1">IF(ISERROR($V7),"",OFFSET('Smelter Look-up'!$E$4,$V7-4,0))</f>
        <v>CID000313</v>
      </c>
      <c r="G7" s="166" t="str">
        <f ca="1">IF(C7=$X$4,IF(ISERROR($V7),"Enter smelter details","RMI"),IF(ISERROR($V7),"",OFFSET('Smelter Look-up'!$F$4,$V7-4,0)))</f>
        <v>RMI</v>
      </c>
      <c r="H7" s="167">
        <f ca="1">IF(ISERROR($V7),"",OFFSET('Smelter Look-up'!$G$4,$V7-4,0))</f>
        <v>0</v>
      </c>
      <c r="I7" s="168" t="str">
        <f ca="1">IF(ISERROR($V7),"",OFFSET('Smelter Look-up'!$H$4,$V7-4,0))</f>
        <v>Pangkalan Baru</v>
      </c>
      <c r="J7" s="168" t="str">
        <f ca="1">IF(ISERROR($V7),"",OFFSET('Smelter Look-up'!$I$4,$V7-4,0))</f>
        <v>Kepulauan Bangka Belitung</v>
      </c>
      <c r="K7" s="207"/>
      <c r="L7" s="207"/>
      <c r="M7" s="207"/>
      <c r="N7" s="207"/>
      <c r="O7" s="207"/>
      <c r="P7" s="169"/>
      <c r="Q7" s="208"/>
      <c r="R7" s="166" t="str">
        <f ca="1">IF(ISERROR($V7),"",OFFSET('Smelter Look-up'!$C$4,$V7-4,0)&amp;"")</f>
        <v>PT Premium Tin Indonesia</v>
      </c>
      <c r="S7" s="165" t="str">
        <f t="shared" ca="1" si="2"/>
        <v>ID</v>
      </c>
      <c r="T7" s="165" t="str">
        <f ca="1">IF(B7="","",IF(ISERROR(MATCH($J7,SorP!$B$1:$B$6261,0)),"",INDIRECT("'SorP'!$A$"&amp;MATCH($S7&amp;$J7,SorP!C:C,0))))</f>
        <v>ID-BB</v>
      </c>
      <c r="U7" s="185"/>
      <c r="V7" s="209">
        <f ca="1">IF(C7="",NA(),IF(OR(C7="Smelter not listed",C7="Smelter not yet identified"),MATCH($B7&amp;$D7,'Smelter Look-up'!$J:$J,0),MATCH($B7&amp;$C7,'Smelter Look-up'!$J:$J,0)))</f>
        <v>526</v>
      </c>
      <c r="X7" s="210">
        <f t="shared" ca="1" si="3"/>
        <v>0</v>
      </c>
      <c r="AB7" s="211" t="str">
        <f t="shared" ca="1" si="4"/>
        <v>TinPT Premium Tin Indonesia</v>
      </c>
    </row>
    <row r="8" spans="1:34" s="210" customFormat="1" ht="20.100000000000001" customHeight="1">
      <c r="A8" s="245" t="s">
        <v>1362</v>
      </c>
      <c r="B8" s="166" t="str">
        <f ca="1">IF(LEN(A8)=0,"",INDEX('Smelter Look-up'!$A:$A,MATCH($A8,'Smelter Look-up'!$E:$E,0)))</f>
        <v>Tin</v>
      </c>
      <c r="C8" s="170" t="str">
        <f ca="1">IF(LEN(A8)=0,"",INDEX('Smelter Look-up'!$C:$C,MATCH($A8,'Smelter Look-up'!$E:$E,0)))</f>
        <v>Dowa</v>
      </c>
      <c r="D8" s="213"/>
      <c r="E8" s="166" t="str">
        <f ca="1">IF(ISERROR($V8),"",OFFSET('Smelter Look-up'!$D$4,$V8-4,0)&amp;"")</f>
        <v>JAPAN</v>
      </c>
      <c r="F8" s="166" t="str">
        <f ca="1">IF(ISERROR($V8),"",OFFSET('Smelter Look-up'!$E$4,$V8-4,0))</f>
        <v>CID000402</v>
      </c>
      <c r="G8" s="166" t="str">
        <f ca="1">IF(C8=$X$4,IF(ISERROR($V8),"Enter smelter details","RMI"),IF(ISERROR($V8),"",OFFSET('Smelter Look-up'!$F$4,$V8-4,0)))</f>
        <v>RMI</v>
      </c>
      <c r="H8" s="167">
        <f ca="1">IF(ISERROR($V8),"",OFFSET('Smelter Look-up'!$G$4,$V8-4,0))</f>
        <v>0</v>
      </c>
      <c r="I8" s="168" t="str">
        <f ca="1">IF(ISERROR($V8),"",OFFSET('Smelter Look-up'!$H$4,$V8-4,0))</f>
        <v>Kosaka</v>
      </c>
      <c r="J8" s="168" t="str">
        <f ca="1">IF(ISERROR($V8),"",OFFSET('Smelter Look-up'!$I$4,$V8-4,0))</f>
        <v>Akita</v>
      </c>
      <c r="K8" s="207"/>
      <c r="L8" s="207"/>
      <c r="M8" s="207"/>
      <c r="N8" s="207"/>
      <c r="O8" s="207"/>
      <c r="P8" s="169"/>
      <c r="Q8" s="208"/>
      <c r="R8" s="166" t="str">
        <f ca="1">IF(ISERROR($V8),"",OFFSET('Smelter Look-up'!$C$4,$V8-4,0)&amp;"")</f>
        <v>Dowa</v>
      </c>
      <c r="S8" s="165" t="str">
        <f t="shared" ca="1" si="2"/>
        <v>JP</v>
      </c>
      <c r="T8" s="165" t="str">
        <f ca="1">IF(B8="","",IF(ISERROR(MATCH($J8,SorP!$B$1:$B$6261,0)),"",INDIRECT("'SorP'!$A$"&amp;MATCH($S8&amp;$J8,SorP!C:C,0))))</f>
        <v>JP-05</v>
      </c>
      <c r="U8" s="185"/>
      <c r="V8" s="209">
        <f ca="1">IF(C8="",NA(),IF(OR(C8="Smelter not listed",C8="Smelter not yet identified"),MATCH($B8&amp;$D8,'Smelter Look-up'!$J:$J,0),MATCH($B8&amp;$C8,'Smelter Look-up'!$J:$J,0)))</f>
        <v>450</v>
      </c>
      <c r="X8" s="210">
        <f t="shared" ca="1" si="3"/>
        <v>0</v>
      </c>
      <c r="AB8" s="211" t="str">
        <f t="shared" ca="1" si="4"/>
        <v>TinDowa</v>
      </c>
    </row>
    <row r="9" spans="1:34" s="210" customFormat="1" ht="20.100000000000001" customHeight="1">
      <c r="A9" s="245" t="s">
        <v>736</v>
      </c>
      <c r="B9" s="166" t="str">
        <f ca="1">IF(LEN(A9)=0,"",INDEX('Smelter Look-up'!$A:$A,MATCH($A9,'Smelter Look-up'!$E:$E,0)))</f>
        <v>Tin</v>
      </c>
      <c r="C9" s="170" t="str">
        <f ca="1">IF(LEN(A9)=0,"",INDEX('Smelter Look-up'!$C:$C,MATCH($A9,'Smelter Look-up'!$E:$E,0)))</f>
        <v>EM Vinto</v>
      </c>
      <c r="D9" s="213"/>
      <c r="E9" s="166" t="str">
        <f ca="1">IF(ISERROR($V9),"",OFFSET('Smelter Look-up'!$D$4,$V9-4,0)&amp;"")</f>
        <v>BOLIVIA (PLURINATIONAL STATE OF)</v>
      </c>
      <c r="F9" s="166" t="str">
        <f ca="1">IF(ISERROR($V9),"",OFFSET('Smelter Look-up'!$E$4,$V9-4,0))</f>
        <v>CID000438</v>
      </c>
      <c r="G9" s="166" t="str">
        <f ca="1">IF(C9=$X$4,IF(ISERROR($V9),"Enter smelter details","RMI"),IF(ISERROR($V9),"",OFFSET('Smelter Look-up'!$F$4,$V9-4,0)))</f>
        <v>RMI</v>
      </c>
      <c r="H9" s="167">
        <f ca="1">IF(ISERROR($V9),"",OFFSET('Smelter Look-up'!$G$4,$V9-4,0))</f>
        <v>0</v>
      </c>
      <c r="I9" s="168" t="str">
        <f ca="1">IF(ISERROR($V9),"",OFFSET('Smelter Look-up'!$H$4,$V9-4,0))</f>
        <v>Oruro</v>
      </c>
      <c r="J9" s="168" t="str">
        <f ca="1">IF(ISERROR($V9),"",OFFSET('Smelter Look-up'!$I$4,$V9-4,0))</f>
        <v>Oruro</v>
      </c>
      <c r="K9" s="207"/>
      <c r="L9" s="207"/>
      <c r="M9" s="207"/>
      <c r="N9" s="207"/>
      <c r="O9" s="207"/>
      <c r="P9" s="169"/>
      <c r="Q9" s="208"/>
      <c r="R9" s="166" t="str">
        <f ca="1">IF(ISERROR($V9),"",OFFSET('Smelter Look-up'!$C$4,$V9-4,0)&amp;"")</f>
        <v>EM Vinto</v>
      </c>
      <c r="S9" s="165" t="str">
        <f t="shared" ca="1" si="2"/>
        <v>Unknown</v>
      </c>
      <c r="T9" s="165" t="e">
        <f ca="1">IF(B9="","",IF(ISERROR(MATCH($J9,SorP!$B$1:$B$6261,0)),"",INDIRECT("'SorP'!$A$"&amp;MATCH($S9&amp;$J9,SorP!C:C,0))))</f>
        <v>#N/A</v>
      </c>
      <c r="U9" s="185"/>
      <c r="V9" s="209">
        <f ca="1">IF(C9="",NA(),IF(OR(C9="Smelter not listed",C9="Smelter not yet identified"),MATCH($B9&amp;$D9,'Smelter Look-up'!$J:$J,0),MATCH($B9&amp;$C9,'Smelter Look-up'!$J:$J,0)))</f>
        <v>453</v>
      </c>
      <c r="X9" s="210">
        <f t="shared" ca="1" si="3"/>
        <v>0</v>
      </c>
      <c r="AB9" s="211" t="str">
        <f t="shared" ca="1" si="4"/>
        <v>TinEM Vinto</v>
      </c>
    </row>
    <row r="10" spans="1:34" s="210" customFormat="1" ht="20.100000000000001" customHeight="1">
      <c r="A10" s="245" t="s">
        <v>737</v>
      </c>
      <c r="B10" s="166" t="str">
        <f ca="1">IF(LEN(A10)=0,"",INDEX('Smelter Look-up'!$A:$A,MATCH($A10,'Smelter Look-up'!$E:$E,0)))</f>
        <v>Tin</v>
      </c>
      <c r="C10" s="170" t="str">
        <f ca="1">IF(LEN(A10)=0,"",INDEX('Smelter Look-up'!$C:$C,MATCH($A10,'Smelter Look-up'!$E:$E,0)))</f>
        <v>Estanho de Rondonia S.A.</v>
      </c>
      <c r="D10" s="213"/>
      <c r="E10" s="166" t="str">
        <f ca="1">IF(ISERROR($V10),"",OFFSET('Smelter Look-up'!$D$4,$V10-4,0)&amp;"")</f>
        <v>BRAZIL</v>
      </c>
      <c r="F10" s="166" t="str">
        <f ca="1">IF(ISERROR($V10),"",OFFSET('Smelter Look-up'!$E$4,$V10-4,0))</f>
        <v>CID000448</v>
      </c>
      <c r="G10" s="166" t="str">
        <f ca="1">IF(C10=$X$4,IF(ISERROR($V10),"Enter smelter details","RMI"),IF(ISERROR($V10),"",OFFSET('Smelter Look-up'!$F$4,$V10-4,0)))</f>
        <v>RMI</v>
      </c>
      <c r="H10" s="167">
        <f ca="1">IF(ISERROR($V10),"",OFFSET('Smelter Look-up'!$G$4,$V10-4,0))</f>
        <v>0</v>
      </c>
      <c r="I10" s="168" t="str">
        <f ca="1">IF(ISERROR($V10),"",OFFSET('Smelter Look-up'!$H$4,$V10-4,0))</f>
        <v>Ariquemes</v>
      </c>
      <c r="J10" s="168" t="str">
        <f ca="1">IF(ISERROR($V10),"",OFFSET('Smelter Look-up'!$I$4,$V10-4,0))</f>
        <v>Rondônia</v>
      </c>
      <c r="K10" s="207"/>
      <c r="L10" s="207"/>
      <c r="M10" s="207"/>
      <c r="N10" s="207"/>
      <c r="O10" s="207"/>
      <c r="P10" s="169"/>
      <c r="Q10" s="208"/>
      <c r="R10" s="166" t="str">
        <f ca="1">IF(ISERROR($V10),"",OFFSET('Smelter Look-up'!$C$4,$V10-4,0)&amp;"")</f>
        <v>Estanho de Rondonia S.A.</v>
      </c>
      <c r="S10" s="165" t="str">
        <f t="shared" ca="1" si="2"/>
        <v>BR</v>
      </c>
      <c r="T10" s="165" t="str">
        <f ca="1">IF(B10="","",IF(ISERROR(MATCH($J10,SorP!$B$1:$B$6261,0)),"",INDIRECT("'SorP'!$A$"&amp;MATCH($S10&amp;$J10,SorP!C:C,0))))</f>
        <v>BR-RO</v>
      </c>
      <c r="U10" s="185"/>
      <c r="V10" s="209">
        <f ca="1">IF(C10="",NA(),IF(OR(C10="Smelter not listed",C10="Smelter not yet identified"),MATCH($B10&amp;$D10,'Smelter Look-up'!$J:$J,0),MATCH($B10&amp;$C10,'Smelter Look-up'!$J:$J,0)))</f>
        <v>457</v>
      </c>
      <c r="X10" s="210">
        <f t="shared" ca="1" si="3"/>
        <v>0</v>
      </c>
      <c r="AB10" s="211" t="str">
        <f t="shared" ca="1" si="4"/>
        <v>TinEstanho de Rondonia S.A.</v>
      </c>
    </row>
    <row r="11" spans="1:34" s="210" customFormat="1" ht="20.100000000000001" customHeight="1">
      <c r="A11" s="245" t="s">
        <v>738</v>
      </c>
      <c r="B11" s="166" t="str">
        <f ca="1">IF(LEN(A11)=0,"",INDEX('Smelter Look-up'!$A:$A,MATCH($A11,'Smelter Look-up'!$E:$E,0)))</f>
        <v>Tin</v>
      </c>
      <c r="C11" s="170" t="str">
        <f ca="1">IF(LEN(A11)=0,"",INDEX('Smelter Look-up'!$C:$C,MATCH($A11,'Smelter Look-up'!$E:$E,0)))</f>
        <v>Fenix Metals</v>
      </c>
      <c r="D11" s="213"/>
      <c r="E11" s="166" t="str">
        <f ca="1">IF(ISERROR($V11),"",OFFSET('Smelter Look-up'!$D$4,$V11-4,0)&amp;"")</f>
        <v>POLAND</v>
      </c>
      <c r="F11" s="166" t="str">
        <f ca="1">IF(ISERROR($V11),"",OFFSET('Smelter Look-up'!$E$4,$V11-4,0))</f>
        <v>CID000468</v>
      </c>
      <c r="G11" s="166" t="str">
        <f ca="1">IF(C11=$X$4,IF(ISERROR($V11),"Enter smelter details","RMI"),IF(ISERROR($V11),"",OFFSET('Smelter Look-up'!$F$4,$V11-4,0)))</f>
        <v>RMI</v>
      </c>
      <c r="H11" s="167">
        <f ca="1">IF(ISERROR($V11),"",OFFSET('Smelter Look-up'!$G$4,$V11-4,0))</f>
        <v>0</v>
      </c>
      <c r="I11" s="168" t="str">
        <f ca="1">IF(ISERROR($V11),"",OFFSET('Smelter Look-up'!$H$4,$V11-4,0))</f>
        <v>Chmielów</v>
      </c>
      <c r="J11" s="168" t="str">
        <f ca="1">IF(ISERROR($V11),"",OFFSET('Smelter Look-up'!$I$4,$V11-4,0))</f>
        <v>Podkarpackie</v>
      </c>
      <c r="K11" s="207"/>
      <c r="L11" s="207"/>
      <c r="M11" s="207"/>
      <c r="N11" s="207"/>
      <c r="O11" s="207"/>
      <c r="P11" s="169"/>
      <c r="Q11" s="208"/>
      <c r="R11" s="166" t="str">
        <f ca="1">IF(ISERROR($V11),"",OFFSET('Smelter Look-up'!$C$4,$V11-4,0)&amp;"")</f>
        <v>Fenix Metals</v>
      </c>
      <c r="S11" s="165" t="str">
        <f t="shared" ca="1" si="2"/>
        <v>PL</v>
      </c>
      <c r="T11" s="165" t="str">
        <f ca="1">IF(B11="","",IF(ISERROR(MATCH($J11,SorP!$B$1:$B$6261,0)),"",INDIRECT("'SorP'!$A$"&amp;MATCH($S11&amp;$J11,SorP!C:C,0))))</f>
        <v>PL-18</v>
      </c>
      <c r="U11" s="185"/>
      <c r="V11" s="209">
        <f ca="1">IF(C11="",NA(),IF(OR(C11="Smelter not listed",C11="Smelter not yet identified"),MATCH($B11&amp;$D11,'Smelter Look-up'!$J:$J,0),MATCH($B11&amp;$C11,'Smelter Look-up'!$J:$J,0)))</f>
        <v>462</v>
      </c>
      <c r="X11" s="210">
        <f t="shared" ca="1" si="3"/>
        <v>0</v>
      </c>
      <c r="AB11" s="211" t="str">
        <f t="shared" ca="1" si="4"/>
        <v>TinFenix Metals</v>
      </c>
    </row>
    <row r="12" spans="1:34" s="210" customFormat="1" ht="20.100000000000001" customHeight="1">
      <c r="A12" s="245" t="s">
        <v>739</v>
      </c>
      <c r="B12" s="166" t="str">
        <f ca="1">IF(LEN(A12)=0,"",INDEX('Smelter Look-up'!$A:$A,MATCH($A12,'Smelter Look-up'!$E:$E,0)))</f>
        <v>Tin</v>
      </c>
      <c r="C12" s="170" t="str">
        <f ca="1">IF(LEN(A12)=0,"",INDEX('Smelter Look-up'!$C:$C,MATCH($A12,'Smelter Look-up'!$E:$E,0)))</f>
        <v>Gejiu Non-Ferrous Metal Processing Co., Ltd.</v>
      </c>
      <c r="D12" s="213"/>
      <c r="E12" s="166" t="str">
        <f ca="1">IF(ISERROR($V12),"",OFFSET('Smelter Look-up'!$D$4,$V12-4,0)&amp;"")</f>
        <v>CHINA</v>
      </c>
      <c r="F12" s="166" t="str">
        <f ca="1">IF(ISERROR($V12),"",OFFSET('Smelter Look-up'!$E$4,$V12-4,0))</f>
        <v>CID000538</v>
      </c>
      <c r="G12" s="166" t="str">
        <f ca="1">IF(C12=$X$4,IF(ISERROR($V12),"Enter smelter details","RMI"),IF(ISERROR($V12),"",OFFSET('Smelter Look-up'!$F$4,$V12-4,0)))</f>
        <v>RMI</v>
      </c>
      <c r="H12" s="167">
        <f ca="1">IF(ISERROR($V12),"",OFFSET('Smelter Look-up'!$G$4,$V12-4,0))</f>
        <v>0</v>
      </c>
      <c r="I12" s="168" t="str">
        <f ca="1">IF(ISERROR($V12),"",OFFSET('Smelter Look-up'!$H$4,$V12-4,0))</f>
        <v>Gejiu</v>
      </c>
      <c r="J12" s="168" t="str">
        <f ca="1">IF(ISERROR($V12),"",OFFSET('Smelter Look-up'!$I$4,$V12-4,0))</f>
        <v>Yunnan Sheng</v>
      </c>
      <c r="K12" s="207"/>
      <c r="L12" s="207"/>
      <c r="M12" s="207"/>
      <c r="N12" s="207"/>
      <c r="O12" s="207"/>
      <c r="P12" s="169"/>
      <c r="Q12" s="208"/>
      <c r="R12" s="166" t="str">
        <f ca="1">IF(ISERROR($V12),"",OFFSET('Smelter Look-up'!$C$4,$V12-4,0)&amp;"")</f>
        <v>Gejiu Non-Ferrous Metal Processing Co., Ltd.</v>
      </c>
      <c r="S12" s="165" t="str">
        <f t="shared" ca="1" si="2"/>
        <v>CN</v>
      </c>
      <c r="T12" s="165" t="str">
        <f ca="1">IF(B12="","",IF(ISERROR(MATCH($J12,SorP!$B$1:$B$6261,0)),"",INDIRECT("'SorP'!$A$"&amp;MATCH($S12&amp;$J12,SorP!C:C,0))))</f>
        <v>CN-YN</v>
      </c>
      <c r="U12" s="185"/>
      <c r="V12" s="209">
        <f ca="1">IF(C12="",NA(),IF(OR(C12="Smelter not listed",C12="Smelter not yet identified"),MATCH($B12&amp;$D12,'Smelter Look-up'!$J:$J,0),MATCH($B12&amp;$C12,'Smelter Look-up'!$J:$J,0)))</f>
        <v>468</v>
      </c>
      <c r="X12" s="210">
        <f t="shared" ca="1" si="3"/>
        <v>0</v>
      </c>
      <c r="AB12" s="211" t="str">
        <f t="shared" ca="1" si="4"/>
        <v>TinGejiu Non-Ferrous Metal Processing Co., Ltd.</v>
      </c>
    </row>
    <row r="13" spans="1:34" s="210" customFormat="1" ht="20.100000000000001" customHeight="1">
      <c r="A13" s="245" t="s">
        <v>742</v>
      </c>
      <c r="B13" s="166" t="str">
        <f ca="1">IF(LEN(A13)=0,"",INDEX('Smelter Look-up'!$A:$A,MATCH($A13,'Smelter Look-up'!$E:$E,0)))</f>
        <v>Tin</v>
      </c>
      <c r="C13" s="170" t="str">
        <f ca="1">IF(LEN(A13)=0,"",INDEX('Smelter Look-up'!$C:$C,MATCH($A13,'Smelter Look-up'!$E:$E,0)))</f>
        <v>China Tin Group Co., Ltd.</v>
      </c>
      <c r="D13" s="213"/>
      <c r="E13" s="166" t="str">
        <f ca="1">IF(ISERROR($V13),"",OFFSET('Smelter Look-up'!$D$4,$V13-4,0)&amp;"")</f>
        <v>CHINA</v>
      </c>
      <c r="F13" s="166" t="str">
        <f ca="1">IF(ISERROR($V13),"",OFFSET('Smelter Look-up'!$E$4,$V13-4,0))</f>
        <v>CID001070</v>
      </c>
      <c r="G13" s="166" t="str">
        <f ca="1">IF(C13=$X$4,IF(ISERROR($V13),"Enter smelter details","RMI"),IF(ISERROR($V13),"",OFFSET('Smelter Look-up'!$F$4,$V13-4,0)))</f>
        <v>RMI</v>
      </c>
      <c r="H13" s="167">
        <f ca="1">IF(ISERROR($V13),"",OFFSET('Smelter Look-up'!$G$4,$V13-4,0))</f>
        <v>0</v>
      </c>
      <c r="I13" s="168" t="str">
        <f ca="1">IF(ISERROR($V13),"",OFFSET('Smelter Look-up'!$H$4,$V13-4,0))</f>
        <v>Laibin</v>
      </c>
      <c r="J13" s="168" t="str">
        <f ca="1">IF(ISERROR($V13),"",OFFSET('Smelter Look-up'!$I$4,$V13-4,0))</f>
        <v>Guangxi Zhuangzu Zizhiqu</v>
      </c>
      <c r="K13" s="207"/>
      <c r="L13" s="207"/>
      <c r="M13" s="207"/>
      <c r="N13" s="207"/>
      <c r="O13" s="207"/>
      <c r="P13" s="169"/>
      <c r="Q13" s="208"/>
      <c r="R13" s="166" t="str">
        <f ca="1">IF(ISERROR($V13),"",OFFSET('Smelter Look-up'!$C$4,$V13-4,0)&amp;"")</f>
        <v>China Tin Group Co., Ltd.</v>
      </c>
      <c r="S13" s="165" t="str">
        <f t="shared" ca="1" si="2"/>
        <v>CN</v>
      </c>
      <c r="T13" s="165" t="str">
        <f ca="1">IF(B13="","",IF(ISERROR(MATCH($J13,SorP!$B$1:$B$6261,0)),"",INDIRECT("'SorP'!$A$"&amp;MATCH($S13&amp;$J13,SorP!C:C,0))))</f>
        <v>CN-GX</v>
      </c>
      <c r="U13" s="185"/>
      <c r="V13" s="209">
        <f ca="1">IF(C13="",NA(),IF(OR(C13="Smelter not listed",C13="Smelter not yet identified"),MATCH($B13&amp;$D13,'Smelter Look-up'!$J:$J,0),MATCH($B13&amp;$C13,'Smelter Look-up'!$J:$J,0)))</f>
        <v>431</v>
      </c>
      <c r="X13" s="210">
        <f t="shared" ca="1" si="3"/>
        <v>0</v>
      </c>
      <c r="AB13" s="211" t="str">
        <f t="shared" ca="1" si="4"/>
        <v>TinChina Tin Group Co., Ltd.</v>
      </c>
    </row>
    <row r="14" spans="1:34" s="210" customFormat="1" ht="20.100000000000001" customHeight="1">
      <c r="A14" s="245" t="s">
        <v>1699</v>
      </c>
      <c r="B14" s="166" t="str">
        <f ca="1">IF(LEN(A14)=0,"",INDEX('Smelter Look-up'!$A:$A,MATCH($A14,'Smelter Look-up'!$E:$E,0)))</f>
        <v>Tin</v>
      </c>
      <c r="C14" s="170" t="str">
        <f ca="1">IF(LEN(A14)=0,"",INDEX('Smelter Look-up'!$C:$C,MATCH($A14,'Smelter Look-up'!$E:$E,0)))</f>
        <v>Metallic Resources, Inc.</v>
      </c>
      <c r="D14" s="213"/>
      <c r="E14" s="166" t="str">
        <f ca="1">IF(ISERROR($V14),"",OFFSET('Smelter Look-up'!$D$4,$V14-4,0)&amp;"")</f>
        <v>UNITED STATES OF AMERICA</v>
      </c>
      <c r="F14" s="166" t="str">
        <f ca="1">IF(ISERROR($V14),"",OFFSET('Smelter Look-up'!$E$4,$V14-4,0))</f>
        <v>CID001142</v>
      </c>
      <c r="G14" s="166" t="str">
        <f ca="1">IF(C14=$X$4,IF(ISERROR($V14),"Enter smelter details","RMI"),IF(ISERROR($V14),"",OFFSET('Smelter Look-up'!$F$4,$V14-4,0)))</f>
        <v>RMI</v>
      </c>
      <c r="H14" s="167">
        <f ca="1">IF(ISERROR($V14),"",OFFSET('Smelter Look-up'!$G$4,$V14-4,0))</f>
        <v>0</v>
      </c>
      <c r="I14" s="168" t="str">
        <f ca="1">IF(ISERROR($V14),"",OFFSET('Smelter Look-up'!$H$4,$V14-4,0))</f>
        <v>Twinsburg</v>
      </c>
      <c r="J14" s="168" t="str">
        <f ca="1">IF(ISERROR($V14),"",OFFSET('Smelter Look-up'!$I$4,$V14-4,0))</f>
        <v>Ohio</v>
      </c>
      <c r="K14" s="207"/>
      <c r="L14" s="207"/>
      <c r="M14" s="207"/>
      <c r="N14" s="207"/>
      <c r="O14" s="207"/>
      <c r="P14" s="169"/>
      <c r="Q14" s="208"/>
      <c r="R14" s="166" t="str">
        <f ca="1">IF(ISERROR($V14),"",OFFSET('Smelter Look-up'!$C$4,$V14-4,0)&amp;"")</f>
        <v>Metallic Resources, Inc.</v>
      </c>
      <c r="S14" s="165" t="str">
        <f t="shared" ca="1" si="2"/>
        <v>US</v>
      </c>
      <c r="T14" s="165" t="str">
        <f ca="1">IF(B14="","",IF(ISERROR(MATCH($J14,SorP!$B$1:$B$6261,0)),"",INDIRECT("'SorP'!$A$"&amp;MATCH($S14&amp;$J14,SorP!C:C,0))))</f>
        <v>US-OH</v>
      </c>
      <c r="U14" s="185"/>
      <c r="V14" s="209">
        <f ca="1">IF(C14="",NA(),IF(OR(C14="Smelter not listed",C14="Smelter not yet identified"),MATCH($B14&amp;$D14,'Smelter Look-up'!$J:$J,0),MATCH($B14&amp;$C14,'Smelter Look-up'!$J:$J,0)))</f>
        <v>495</v>
      </c>
      <c r="X14" s="210">
        <f t="shared" ca="1" si="3"/>
        <v>0</v>
      </c>
      <c r="AB14" s="211" t="str">
        <f t="shared" ca="1" si="4"/>
        <v>TinMetallic Resources, Inc.</v>
      </c>
    </row>
    <row r="15" spans="1:34" s="210" customFormat="1" ht="20.100000000000001" customHeight="1">
      <c r="A15" s="245" t="s">
        <v>743</v>
      </c>
      <c r="B15" s="166" t="str">
        <f ca="1">IF(LEN(A15)=0,"",INDEX('Smelter Look-up'!$A:$A,MATCH($A15,'Smelter Look-up'!$E:$E,0)))</f>
        <v>Tin</v>
      </c>
      <c r="C15" s="170" t="str">
        <f ca="1">IF(LEN(A15)=0,"",INDEX('Smelter Look-up'!$C:$C,MATCH($A15,'Smelter Look-up'!$E:$E,0)))</f>
        <v>Mineracao Taboca S.A.</v>
      </c>
      <c r="D15" s="213"/>
      <c r="E15" s="166" t="str">
        <f ca="1">IF(ISERROR($V15),"",OFFSET('Smelter Look-up'!$D$4,$V15-4,0)&amp;"")</f>
        <v>BRAZIL</v>
      </c>
      <c r="F15" s="166" t="str">
        <f ca="1">IF(ISERROR($V15),"",OFFSET('Smelter Look-up'!$E$4,$V15-4,0))</f>
        <v>CID001173</v>
      </c>
      <c r="G15" s="166" t="str">
        <f ca="1">IF(C15=$X$4,IF(ISERROR($V15),"Enter smelter details","RMI"),IF(ISERROR($V15),"",OFFSET('Smelter Look-up'!$F$4,$V15-4,0)))</f>
        <v>RMI</v>
      </c>
      <c r="H15" s="167">
        <f ca="1">IF(ISERROR($V15),"",OFFSET('Smelter Look-up'!$G$4,$V15-4,0))</f>
        <v>0</v>
      </c>
      <c r="I15" s="168" t="str">
        <f ca="1">IF(ISERROR($V15),"",OFFSET('Smelter Look-up'!$H$4,$V15-4,0))</f>
        <v>Pirapora de Bom Jesus</v>
      </c>
      <c r="J15" s="168" t="str">
        <f ca="1">IF(ISERROR($V15),"",OFFSET('Smelter Look-up'!$I$4,$V15-4,0))</f>
        <v>São Paulo</v>
      </c>
      <c r="K15" s="207"/>
      <c r="L15" s="207"/>
      <c r="M15" s="207"/>
      <c r="N15" s="207"/>
      <c r="O15" s="207"/>
      <c r="P15" s="169"/>
      <c r="Q15" s="208"/>
      <c r="R15" s="166" t="str">
        <f ca="1">IF(ISERROR($V15),"",OFFSET('Smelter Look-up'!$C$4,$V15-4,0)&amp;"")</f>
        <v>Mineracao Taboca S.A.</v>
      </c>
      <c r="S15" s="165" t="str">
        <f t="shared" ca="1" si="2"/>
        <v>BR</v>
      </c>
      <c r="T15" s="165" t="str">
        <f ca="1">IF(B15="","",IF(ISERROR(MATCH($J15,SorP!$B$1:$B$6261,0)),"",INDIRECT("'SorP'!$A$"&amp;MATCH($S15&amp;$J15,SorP!C:C,0))))</f>
        <v>BR-SP</v>
      </c>
      <c r="U15" s="185"/>
      <c r="V15" s="209">
        <f ca="1">IF(C15="",NA(),IF(OR(C15="Smelter not listed",C15="Smelter not yet identified"),MATCH($B15&amp;$D15,'Smelter Look-up'!$J:$J,0),MATCH($B15&amp;$C15,'Smelter Look-up'!$J:$J,0)))</f>
        <v>498</v>
      </c>
      <c r="X15" s="210">
        <f t="shared" ca="1" si="3"/>
        <v>0</v>
      </c>
      <c r="AB15" s="211" t="str">
        <f t="shared" ca="1" si="4"/>
        <v>TinMineracao Taboca S.A.</v>
      </c>
    </row>
    <row r="16" spans="1:34" s="210" customFormat="1" ht="20.100000000000001" customHeight="1">
      <c r="A16" s="245" t="s">
        <v>744</v>
      </c>
      <c r="B16" s="166" t="str">
        <f ca="1">IF(LEN(A16)=0,"",INDEX('Smelter Look-up'!$A:$A,MATCH($A16,'Smelter Look-up'!$E:$E,0)))</f>
        <v>Tin</v>
      </c>
      <c r="C16" s="170" t="str">
        <f ca="1">IF(LEN(A16)=0,"",INDEX('Smelter Look-up'!$C:$C,MATCH($A16,'Smelter Look-up'!$E:$E,0)))</f>
        <v>Minsur</v>
      </c>
      <c r="D16" s="213"/>
      <c r="E16" s="166" t="str">
        <f ca="1">IF(ISERROR($V16),"",OFFSET('Smelter Look-up'!$D$4,$V16-4,0)&amp;"")</f>
        <v>PERU</v>
      </c>
      <c r="F16" s="166" t="str">
        <f ca="1">IF(ISERROR($V16),"",OFFSET('Smelter Look-up'!$E$4,$V16-4,0))</f>
        <v>CID001182</v>
      </c>
      <c r="G16" s="166" t="str">
        <f ca="1">IF(C16=$X$4,IF(ISERROR($V16),"Enter smelter details","RMI"),IF(ISERROR($V16),"",OFFSET('Smelter Look-up'!$F$4,$V16-4,0)))</f>
        <v>RMI</v>
      </c>
      <c r="H16" s="167">
        <f ca="1">IF(ISERROR($V16),"",OFFSET('Smelter Look-up'!$G$4,$V16-4,0))</f>
        <v>0</v>
      </c>
      <c r="I16" s="168" t="str">
        <f ca="1">IF(ISERROR($V16),"",OFFSET('Smelter Look-up'!$H$4,$V16-4,0))</f>
        <v>Paracas</v>
      </c>
      <c r="J16" s="168" t="str">
        <f ca="1">IF(ISERROR($V16),"",OFFSET('Smelter Look-up'!$I$4,$V16-4,0))</f>
        <v>Ika</v>
      </c>
      <c r="K16" s="207"/>
      <c r="L16" s="207"/>
      <c r="M16" s="207"/>
      <c r="N16" s="207"/>
      <c r="O16" s="207"/>
      <c r="P16" s="169"/>
      <c r="Q16" s="208"/>
      <c r="R16" s="166" t="str">
        <f ca="1">IF(ISERROR($V16),"",OFFSET('Smelter Look-up'!$C$4,$V16-4,0)&amp;"")</f>
        <v>Minsur</v>
      </c>
      <c r="S16" s="165" t="str">
        <f t="shared" ca="1" si="2"/>
        <v>PE</v>
      </c>
      <c r="T16" s="165" t="str">
        <f ca="1">IF(B16="","",IF(ISERROR(MATCH($J16,SorP!$B$1:$B$6261,0)),"",INDIRECT("'SorP'!$A$"&amp;MATCH($S16&amp;$J16,SorP!C:C,0))))</f>
        <v>PE-ICA</v>
      </c>
      <c r="U16" s="185"/>
      <c r="V16" s="209">
        <f ca="1">IF(C16="",NA(),IF(OR(C16="Smelter not listed",C16="Smelter not yet identified"),MATCH($B16&amp;$D16,'Smelter Look-up'!$J:$J,0),MATCH($B16&amp;$C16,'Smelter Look-up'!$J:$J,0)))</f>
        <v>503</v>
      </c>
      <c r="X16" s="210">
        <f t="shared" ca="1" si="3"/>
        <v>0</v>
      </c>
      <c r="AB16" s="211" t="str">
        <f t="shared" ca="1" si="4"/>
        <v>TinMinsur</v>
      </c>
    </row>
    <row r="17" spans="1:28" s="210" customFormat="1" ht="20.100000000000001" customHeight="1">
      <c r="A17" s="245" t="s">
        <v>745</v>
      </c>
      <c r="B17" s="166" t="str">
        <f ca="1">IF(LEN(A17)=0,"",INDEX('Smelter Look-up'!$A:$A,MATCH($A17,'Smelter Look-up'!$E:$E,0)))</f>
        <v>Tin</v>
      </c>
      <c r="C17" s="170" t="str">
        <f ca="1">IF(LEN(A17)=0,"",INDEX('Smelter Look-up'!$C:$C,MATCH($A17,'Smelter Look-up'!$E:$E,0)))</f>
        <v>Mitsubishi Materials Corporation</v>
      </c>
      <c r="D17" s="213"/>
      <c r="E17" s="166" t="str">
        <f ca="1">IF(ISERROR($V17),"",OFFSET('Smelter Look-up'!$D$4,$V17-4,0)&amp;"")</f>
        <v>JAPAN</v>
      </c>
      <c r="F17" s="166" t="str">
        <f ca="1">IF(ISERROR($V17),"",OFFSET('Smelter Look-up'!$E$4,$V17-4,0))</f>
        <v>CID001191</v>
      </c>
      <c r="G17" s="166" t="str">
        <f ca="1">IF(C17=$X$4,IF(ISERROR($V17),"Enter smelter details","RMI"),IF(ISERROR($V17),"",OFFSET('Smelter Look-up'!$F$4,$V17-4,0)))</f>
        <v>RMI</v>
      </c>
      <c r="H17" s="167">
        <f ca="1">IF(ISERROR($V17),"",OFFSET('Smelter Look-up'!$G$4,$V17-4,0))</f>
        <v>0</v>
      </c>
      <c r="I17" s="168" t="str">
        <f ca="1">IF(ISERROR($V17),"",OFFSET('Smelter Look-up'!$H$4,$V17-4,0))</f>
        <v>Asago</v>
      </c>
      <c r="J17" s="168" t="str">
        <f ca="1">IF(ISERROR($V17),"",OFFSET('Smelter Look-up'!$I$4,$V17-4,0))</f>
        <v>Hyôgo</v>
      </c>
      <c r="K17" s="207"/>
      <c r="L17" s="207"/>
      <c r="M17" s="207"/>
      <c r="N17" s="207"/>
      <c r="O17" s="207"/>
      <c r="P17" s="169"/>
      <c r="Q17" s="208"/>
      <c r="R17" s="166" t="str">
        <f ca="1">IF(ISERROR($V17),"",OFFSET('Smelter Look-up'!$C$4,$V17-4,0)&amp;"")</f>
        <v>Mitsubishi Materials Corporation</v>
      </c>
      <c r="S17" s="165" t="str">
        <f t="shared" ca="1" si="2"/>
        <v>JP</v>
      </c>
      <c r="T17" s="165" t="str">
        <f ca="1">IF(B17="","",IF(ISERROR(MATCH($J17,SorP!$B$1:$B$6261,0)),"",INDIRECT("'SorP'!$A$"&amp;MATCH($S17&amp;$J17,SorP!C:C,0))))</f>
        <v>JP-28</v>
      </c>
      <c r="U17" s="185"/>
      <c r="V17" s="209">
        <f ca="1">IF(C17="",NA(),IF(OR(C17="Smelter not listed",C17="Smelter not yet identified"),MATCH($B17&amp;$D17,'Smelter Look-up'!$J:$J,0),MATCH($B17&amp;$C17,'Smelter Look-up'!$J:$J,0)))</f>
        <v>504</v>
      </c>
      <c r="X17" s="210">
        <f t="shared" ca="1" si="3"/>
        <v>0</v>
      </c>
      <c r="AB17" s="211" t="str">
        <f t="shared" ca="1" si="4"/>
        <v>TinMitsubishi Materials Corporation</v>
      </c>
    </row>
    <row r="18" spans="1:28" s="210" customFormat="1" ht="20.100000000000001" customHeight="1">
      <c r="A18" s="165" t="s">
        <v>1705</v>
      </c>
      <c r="B18" s="166" t="str">
        <f ca="1">IF(LEN(A18)=0,"",INDEX('Smelter Look-up'!$A:$A,MATCH($A18,'Smelter Look-up'!$E:$E,0)))</f>
        <v>Tin</v>
      </c>
      <c r="C18" s="170" t="str">
        <f ca="1">IF(LEN(A18)=0,"",INDEX('Smelter Look-up'!$C:$C,MATCH($A18,'Smelter Look-up'!$E:$E,0)))</f>
        <v>Jiangxi New Nanshan Technology Ltd.</v>
      </c>
      <c r="D18" s="213"/>
      <c r="E18" s="166" t="str">
        <f ca="1">IF(ISERROR($V18),"",OFFSET('Smelter Look-up'!$D$4,$V18-4,0)&amp;"")</f>
        <v>CHINA</v>
      </c>
      <c r="F18" s="166" t="str">
        <f ca="1">IF(ISERROR($V18),"",OFFSET('Smelter Look-up'!$E$4,$V18-4,0))</f>
        <v>CID001231</v>
      </c>
      <c r="G18" s="166" t="str">
        <f ca="1">IF(C18=$X$4,IF(ISERROR($V18),"Enter smelter details","RMI"),IF(ISERROR($V18),"",OFFSET('Smelter Look-up'!$F$4,$V18-4,0)))</f>
        <v>RMI</v>
      </c>
      <c r="H18" s="167">
        <f ca="1">IF(ISERROR($V18),"",OFFSET('Smelter Look-up'!$G$4,$V18-4,0))</f>
        <v>0</v>
      </c>
      <c r="I18" s="168" t="str">
        <f ca="1">IF(ISERROR($V18),"",OFFSET('Smelter Look-up'!$H$4,$V18-4,0))</f>
        <v>Ganzhou</v>
      </c>
      <c r="J18" s="168" t="str">
        <f ca="1">IF(ISERROR($V18),"",OFFSET('Smelter Look-up'!$I$4,$V18-4,0))</f>
        <v>Jiangxi Sheng</v>
      </c>
      <c r="K18" s="207"/>
      <c r="L18" s="207"/>
      <c r="M18" s="207"/>
      <c r="N18" s="207"/>
      <c r="O18" s="207"/>
      <c r="P18" s="169"/>
      <c r="Q18" s="208"/>
      <c r="R18" s="166" t="str">
        <f ca="1">IF(ISERROR($V18),"",OFFSET('Smelter Look-up'!$C$4,$V18-4,0)&amp;"")</f>
        <v>Jiangxi New Nanshan Technology Ltd.</v>
      </c>
      <c r="S18" s="165" t="str">
        <f t="shared" ca="1" si="2"/>
        <v>CN</v>
      </c>
      <c r="T18" s="165" t="str">
        <f ca="1">IF(B18="","",IF(ISERROR(MATCH($J18,SorP!$B$1:$B$6261,0)),"",INDIRECT("'SorP'!$A$"&amp;MATCH($S18&amp;$J18,SorP!C:C,0))))</f>
        <v>CN-JX</v>
      </c>
      <c r="U18" s="185"/>
      <c r="V18" s="209">
        <f ca="1">IF(C18="",NA(),IF(OR(C18="Smelter not listed",C18="Smelter not yet identified"),MATCH($B18&amp;$D18,'Smelter Look-up'!$J:$J,0),MATCH($B18&amp;$C18,'Smelter Look-up'!$J:$J,0)))</f>
        <v>481</v>
      </c>
      <c r="X18" s="210">
        <f t="shared" ca="1" si="3"/>
        <v>0</v>
      </c>
      <c r="AB18" s="211" t="str">
        <f t="shared" ca="1" si="4"/>
        <v>TinJiangxi New Nanshan Technology Ltd.</v>
      </c>
    </row>
    <row r="19" spans="1:28" s="210" customFormat="1" ht="75.599999999999994">
      <c r="A19" s="165" t="s">
        <v>747</v>
      </c>
      <c r="B19" s="166" t="str">
        <f ca="1">IF(LEN(A19)=0,"",INDEX('Smelter Look-up'!$A:$A,MATCH($A19,'Smelter Look-up'!$E:$E,0)))</f>
        <v>Tin</v>
      </c>
      <c r="C19" s="170" t="str">
        <f ca="1">IF(LEN(A19)=0,"",INDEX('Smelter Look-up'!$C:$C,MATCH($A19,'Smelter Look-up'!$E:$E,0)))</f>
        <v>O.M. Manufacturing (Thailand) Co., Ltd.</v>
      </c>
      <c r="D19" s="213"/>
      <c r="E19" s="166" t="str">
        <f ca="1">IF(ISERROR($V19),"",OFFSET('Smelter Look-up'!$D$4,$V19-4,0)&amp;"")</f>
        <v>THAILAND</v>
      </c>
      <c r="F19" s="166" t="str">
        <f ca="1">IF(ISERROR($V19),"",OFFSET('Smelter Look-up'!$E$4,$V19-4,0))</f>
        <v>CID001314</v>
      </c>
      <c r="G19" s="166" t="str">
        <f ca="1">IF(C19=$X$4,IF(ISERROR($V19),"Enter smelter details","RMI"),IF(ISERROR($V19),"",OFFSET('Smelter Look-up'!$F$4,$V19-4,0)))</f>
        <v>RMI</v>
      </c>
      <c r="H19" s="167">
        <f ca="1">IF(ISERROR($V19),"",OFFSET('Smelter Look-up'!$G$4,$V19-4,0))</f>
        <v>0</v>
      </c>
      <c r="I19" s="168" t="str">
        <f ca="1">IF(ISERROR($V19),"",OFFSET('Smelter Look-up'!$H$4,$V19-4,0))</f>
        <v>Nongkham Sriracha</v>
      </c>
      <c r="J19" s="168" t="str">
        <f ca="1">IF(ISERROR($V19),"",OFFSET('Smelter Look-up'!$I$4,$V19-4,0))</f>
        <v>Chon Buri</v>
      </c>
      <c r="K19" s="207"/>
      <c r="L19" s="207"/>
      <c r="M19" s="207"/>
      <c r="N19" s="207"/>
      <c r="O19" s="207"/>
      <c r="P19" s="169"/>
      <c r="Q19" s="208"/>
      <c r="R19" s="166" t="str">
        <f ca="1">IF(ISERROR($V19),"",OFFSET('Smelter Look-up'!$C$4,$V19-4,0)&amp;"")</f>
        <v>O.M. Manufacturing (Thailand) Co., Ltd.</v>
      </c>
      <c r="S19" s="165" t="str">
        <f t="shared" ca="1" si="2"/>
        <v>TH</v>
      </c>
      <c r="T19" s="165" t="str">
        <f ca="1">IF(B19="","",IF(ISERROR(MATCH($J19,SorP!$B$1:$B$6261,0)),"",INDIRECT("'SorP'!$A$"&amp;MATCH($S19&amp;$J19,SorP!C:C,0))))</f>
        <v>TH-20</v>
      </c>
      <c r="U19" s="185"/>
      <c r="V19" s="209">
        <f ca="1">IF(C19="",NA(),IF(OR(C19="Smelter not listed",C19="Smelter not yet identified"),MATCH($B19&amp;$D19,'Smelter Look-up'!$J:$J,0),MATCH($B19&amp;$C19,'Smelter Look-up'!$J:$J,0)))</f>
        <v>511</v>
      </c>
      <c r="X19" s="210">
        <f t="shared" ca="1" si="3"/>
        <v>0</v>
      </c>
      <c r="AB19" s="211" t="str">
        <f t="shared" ca="1" si="4"/>
        <v>TinO.M. Manufacturing (Thailand) Co., Ltd.</v>
      </c>
    </row>
    <row r="20" spans="1:28" s="210" customFormat="1" ht="50.4">
      <c r="A20" s="165" t="s">
        <v>748</v>
      </c>
      <c r="B20" s="166" t="str">
        <f ca="1">IF(LEN(A20)=0,"",INDEX('Smelter Look-up'!$A:$A,MATCH($A20,'Smelter Look-up'!$E:$E,0)))</f>
        <v>Tin</v>
      </c>
      <c r="C20" s="170" t="str">
        <f ca="1">IF(LEN(A20)=0,"",INDEX('Smelter Look-up'!$C:$C,MATCH($A20,'Smelter Look-up'!$E:$E,0)))</f>
        <v>Operaciones Metalurgicas S.A.</v>
      </c>
      <c r="D20" s="213"/>
      <c r="E20" s="166" t="str">
        <f ca="1">IF(ISERROR($V20),"",OFFSET('Smelter Look-up'!$D$4,$V20-4,0)&amp;"")</f>
        <v>BOLIVIA (PLURINATIONAL STATE OF)</v>
      </c>
      <c r="F20" s="166" t="str">
        <f ca="1">IF(ISERROR($V20),"",OFFSET('Smelter Look-up'!$E$4,$V20-4,0))</f>
        <v>CID001337</v>
      </c>
      <c r="G20" s="166" t="str">
        <f ca="1">IF(C20=$X$4,IF(ISERROR($V20),"Enter smelter details","RMI"),IF(ISERROR($V20),"",OFFSET('Smelter Look-up'!$F$4,$V20-4,0)))</f>
        <v>RMI</v>
      </c>
      <c r="H20" s="167">
        <f ca="1">IF(ISERROR($V20),"",OFFSET('Smelter Look-up'!$G$4,$V20-4,0))</f>
        <v>0</v>
      </c>
      <c r="I20" s="168" t="str">
        <f ca="1">IF(ISERROR($V20),"",OFFSET('Smelter Look-up'!$H$4,$V20-4,0))</f>
        <v>Oruro</v>
      </c>
      <c r="J20" s="168" t="str">
        <f ca="1">IF(ISERROR($V20),"",OFFSET('Smelter Look-up'!$I$4,$V20-4,0))</f>
        <v>Oruro</v>
      </c>
      <c r="K20" s="207"/>
      <c r="L20" s="207"/>
      <c r="M20" s="207"/>
      <c r="N20" s="207"/>
      <c r="O20" s="207"/>
      <c r="P20" s="169"/>
      <c r="Q20" s="208"/>
      <c r="R20" s="166" t="str">
        <f ca="1">IF(ISERROR($V20),"",OFFSET('Smelter Look-up'!$C$4,$V20-4,0)&amp;"")</f>
        <v>Operaciones Metalurgicas S.A.</v>
      </c>
      <c r="S20" s="165" t="str">
        <f t="shared" ca="1" si="2"/>
        <v>Unknown</v>
      </c>
      <c r="T20" s="165" t="e">
        <f ca="1">IF(B20="","",IF(ISERROR(MATCH($J20,SorP!$B$1:$B$6261,0)),"",INDIRECT("'SorP'!$A$"&amp;MATCH($S20&amp;$J20,SorP!C:C,0))))</f>
        <v>#N/A</v>
      </c>
      <c r="U20" s="185"/>
      <c r="V20" s="209">
        <f ca="1">IF(C20="",NA(),IF(OR(C20="Smelter not listed",C20="Smelter not yet identified"),MATCH($B20&amp;$D20,'Smelter Look-up'!$J:$J,0),MATCH($B20&amp;$C20,'Smelter Look-up'!$J:$J,0)))</f>
        <v>514</v>
      </c>
      <c r="X20" s="210">
        <f t="shared" ca="1" si="3"/>
        <v>0</v>
      </c>
      <c r="AB20" s="211" t="str">
        <f t="shared" ca="1" si="4"/>
        <v>TinOperaciones Metalurgicas S.A.</v>
      </c>
    </row>
    <row r="21" spans="1:28" s="210" customFormat="1" ht="63">
      <c r="A21" s="165" t="s">
        <v>15458</v>
      </c>
      <c r="B21" s="166" t="str">
        <f ca="1">IF(LEN(A21)=0,"",INDEX('Smelter Look-up'!$A:$A,MATCH($A21,'Smelter Look-up'!$E:$E,0)))</f>
        <v>Tin</v>
      </c>
      <c r="C21" s="170" t="str">
        <f ca="1">IF(LEN(A21)=0,"",INDEX('Smelter Look-up'!$C:$C,MATCH($A21,'Smelter Look-up'!$E:$E,0)))</f>
        <v>PT Artha Cipta Langgeng</v>
      </c>
      <c r="D21" s="213"/>
      <c r="E21" s="166" t="str">
        <f ca="1">IF(ISERROR($V21),"",OFFSET('Smelter Look-up'!$D$4,$V21-4,0)&amp;"")</f>
        <v>INDONESIA</v>
      </c>
      <c r="F21" s="166" t="str">
        <f ca="1">IF(ISERROR($V21),"",OFFSET('Smelter Look-up'!$E$4,$V21-4,0))</f>
        <v>CID001399</v>
      </c>
      <c r="G21" s="166" t="str">
        <f ca="1">IF(C21=$X$4,IF(ISERROR($V21),"Enter smelter details","RMI"),IF(ISERROR($V21),"",OFFSET('Smelter Look-up'!$F$4,$V21-4,0)))</f>
        <v>RMI</v>
      </c>
      <c r="H21" s="167">
        <f ca="1">IF(ISERROR($V21),"",OFFSET('Smelter Look-up'!$G$4,$V21-4,0))</f>
        <v>0</v>
      </c>
      <c r="I21" s="168" t="str">
        <f ca="1">IF(ISERROR($V21),"",OFFSET('Smelter Look-up'!$H$4,$V21-4,0))</f>
        <v>Sungailiat</v>
      </c>
      <c r="J21" s="168" t="str">
        <f ca="1">IF(ISERROR($V21),"",OFFSET('Smelter Look-up'!$I$4,$V21-4,0))</f>
        <v>Kepulauan Bangka Belitung</v>
      </c>
      <c r="K21" s="207"/>
      <c r="L21" s="207"/>
      <c r="M21" s="207"/>
      <c r="N21" s="207"/>
      <c r="O21" s="207"/>
      <c r="P21" s="169"/>
      <c r="Q21" s="208"/>
      <c r="R21" s="166" t="str">
        <f ca="1">IF(ISERROR($V21),"",OFFSET('Smelter Look-up'!$C$4,$V21-4,0)&amp;"")</f>
        <v>PT Artha Cipta Langgeng</v>
      </c>
      <c r="S21" s="165" t="str">
        <f t="shared" ca="1" si="2"/>
        <v>ID</v>
      </c>
      <c r="T21" s="165" t="str">
        <f ca="1">IF(B21="","",IF(ISERROR(MATCH($J21,SorP!$B$1:$B$6261,0)),"",INDIRECT("'SorP'!$A$"&amp;MATCH($S21&amp;$J21,SorP!C:C,0))))</f>
        <v>ID-BB</v>
      </c>
      <c r="U21" s="185"/>
      <c r="V21" s="209">
        <f ca="1">IF(C21="",NA(),IF(OR(C21="Smelter not listed",C21="Smelter not yet identified"),MATCH($B21&amp;$D21,'Smelter Look-up'!$J:$J,0),MATCH($B21&amp;$C21,'Smelter Look-up'!$J:$J,0)))</f>
        <v>519</v>
      </c>
      <c r="X21" s="210">
        <f t="shared" ca="1" si="3"/>
        <v>0</v>
      </c>
      <c r="AB21" s="211" t="str">
        <f t="shared" ca="1" si="4"/>
        <v>TinPT Artha Cipta Langgeng</v>
      </c>
    </row>
    <row r="22" spans="1:28" s="210" customFormat="1" ht="50.4">
      <c r="A22" s="165" t="s">
        <v>749</v>
      </c>
      <c r="B22" s="166" t="str">
        <f ca="1">IF(LEN(A22)=0,"",INDEX('Smelter Look-up'!$A:$A,MATCH($A22,'Smelter Look-up'!$E:$E,0)))</f>
        <v>Tin</v>
      </c>
      <c r="C22" s="170" t="str">
        <f ca="1">IF(LEN(A22)=0,"",INDEX('Smelter Look-up'!$C:$C,MATCH($A22,'Smelter Look-up'!$E:$E,0)))</f>
        <v>PT Mitra Stania Prima</v>
      </c>
      <c r="D22" s="213"/>
      <c r="E22" s="166" t="str">
        <f ca="1">IF(ISERROR($V22),"",OFFSET('Smelter Look-up'!$D$4,$V22-4,0)&amp;"")</f>
        <v>INDONESIA</v>
      </c>
      <c r="F22" s="166" t="str">
        <f ca="1">IF(ISERROR($V22),"",OFFSET('Smelter Look-up'!$E$4,$V22-4,0))</f>
        <v>CID001453</v>
      </c>
      <c r="G22" s="166" t="str">
        <f ca="1">IF(C22=$X$4,IF(ISERROR($V22),"Enter smelter details","RMI"),IF(ISERROR($V22),"",OFFSET('Smelter Look-up'!$F$4,$V22-4,0)))</f>
        <v>RMI</v>
      </c>
      <c r="H22" s="167">
        <f ca="1">IF(ISERROR($V22),"",OFFSET('Smelter Look-up'!$G$4,$V22-4,0))</f>
        <v>0</v>
      </c>
      <c r="I22" s="168" t="str">
        <f ca="1">IF(ISERROR($V22),"",OFFSET('Smelter Look-up'!$H$4,$V22-4,0))</f>
        <v>Sungailiat</v>
      </c>
      <c r="J22" s="168" t="str">
        <f ca="1">IF(ISERROR($V22),"",OFFSET('Smelter Look-up'!$I$4,$V22-4,0))</f>
        <v>Kepulauan Bangka Belitung</v>
      </c>
      <c r="K22" s="207"/>
      <c r="L22" s="207"/>
      <c r="M22" s="207"/>
      <c r="N22" s="207"/>
      <c r="O22" s="207"/>
      <c r="P22" s="169"/>
      <c r="Q22" s="208"/>
      <c r="R22" s="166" t="str">
        <f ca="1">IF(ISERROR($V22),"",OFFSET('Smelter Look-up'!$C$4,$V22-4,0)&amp;"")</f>
        <v>PT Mitra Stania Prima</v>
      </c>
      <c r="S22" s="165" t="str">
        <f t="shared" ca="1" si="2"/>
        <v>ID</v>
      </c>
      <c r="T22" s="165" t="str">
        <f ca="1">IF(B22="","",IF(ISERROR(MATCH($J22,SorP!$B$1:$B$6261,0)),"",INDIRECT("'SorP'!$A$"&amp;MATCH($S22&amp;$J22,SorP!C:C,0))))</f>
        <v>ID-BB</v>
      </c>
      <c r="U22" s="185"/>
      <c r="V22" s="209">
        <f ca="1">IF(C22="",NA(),IF(OR(C22="Smelter not listed",C22="Smelter not yet identified"),MATCH($B22&amp;$D22,'Smelter Look-up'!$J:$J,0),MATCH($B22&amp;$C22,'Smelter Look-up'!$J:$J,0)))</f>
        <v>524</v>
      </c>
      <c r="X22" s="210">
        <f t="shared" ca="1" si="3"/>
        <v>0</v>
      </c>
      <c r="AB22" s="211" t="str">
        <f t="shared" ca="1" si="4"/>
        <v>TinPT Mitra Stania Prima</v>
      </c>
    </row>
    <row r="23" spans="1:28" s="210" customFormat="1" ht="50.4">
      <c r="A23" s="165" t="s">
        <v>15253</v>
      </c>
      <c r="B23" s="166" t="str">
        <f ca="1">IF(LEN(A23)=0,"",INDEX('Smelter Look-up'!$A:$A,MATCH($A23,'Smelter Look-up'!$E:$E,0)))</f>
        <v>Tin</v>
      </c>
      <c r="C23" s="170" t="str">
        <f ca="1">IF(LEN(A23)=0,"",INDEX('Smelter Look-up'!$C:$C,MATCH($A23,'Smelter Look-up'!$E:$E,0)))</f>
        <v>PT Prima Timah Utama</v>
      </c>
      <c r="D23" s="213"/>
      <c r="E23" s="166" t="str">
        <f ca="1">IF(ISERROR($V23),"",OFFSET('Smelter Look-up'!$D$4,$V23-4,0)&amp;"")</f>
        <v>INDONESIA</v>
      </c>
      <c r="F23" s="166" t="str">
        <f ca="1">IF(ISERROR($V23),"",OFFSET('Smelter Look-up'!$E$4,$V23-4,0))</f>
        <v>CID001458</v>
      </c>
      <c r="G23" s="166" t="str">
        <f ca="1">IF(C23=$X$4,IF(ISERROR($V23),"Enter smelter details","RMI"),IF(ISERROR($V23),"",OFFSET('Smelter Look-up'!$F$4,$V23-4,0)))</f>
        <v>RMI</v>
      </c>
      <c r="H23" s="167">
        <f ca="1">IF(ISERROR($V23),"",OFFSET('Smelter Look-up'!$G$4,$V23-4,0))</f>
        <v>0</v>
      </c>
      <c r="I23" s="168" t="str">
        <f ca="1">IF(ISERROR($V23),"",OFFSET('Smelter Look-up'!$H$4,$V23-4,0))</f>
        <v>Pangkal Pinang</v>
      </c>
      <c r="J23" s="168" t="str">
        <f ca="1">IF(ISERROR($V23),"",OFFSET('Smelter Look-up'!$I$4,$V23-4,0))</f>
        <v>Kepulauan Bangka Belitung</v>
      </c>
      <c r="K23" s="207"/>
      <c r="L23" s="207"/>
      <c r="M23" s="207"/>
      <c r="N23" s="207"/>
      <c r="O23" s="207"/>
      <c r="P23" s="169"/>
      <c r="Q23" s="208"/>
      <c r="R23" s="166" t="str">
        <f ca="1">IF(ISERROR($V23),"",OFFSET('Smelter Look-up'!$C$4,$V23-4,0)&amp;"")</f>
        <v>PT Prima Timah Utama</v>
      </c>
      <c r="S23" s="165" t="str">
        <f t="shared" ca="1" si="2"/>
        <v>ID</v>
      </c>
      <c r="T23" s="165" t="str">
        <f ca="1">IF(B23="","",IF(ISERROR(MATCH($J23,SorP!$B$1:$B$6261,0)),"",INDIRECT("'SorP'!$A$"&amp;MATCH($S23&amp;$J23,SorP!C:C,0))))</f>
        <v>ID-BB</v>
      </c>
      <c r="U23" s="185"/>
      <c r="V23" s="209">
        <f ca="1">IF(C23="",NA(),IF(OR(C23="Smelter not listed",C23="Smelter not yet identified"),MATCH($B23&amp;$D23,'Smelter Look-up'!$J:$J,0),MATCH($B23&amp;$C23,'Smelter Look-up'!$J:$J,0)))</f>
        <v>527</v>
      </c>
      <c r="X23" s="210">
        <f t="shared" ca="1" si="3"/>
        <v>0</v>
      </c>
      <c r="AB23" s="211" t="str">
        <f t="shared" ca="1" si="4"/>
        <v>TinPT Prima Timah Utama</v>
      </c>
    </row>
    <row r="24" spans="1:28" s="210" customFormat="1" ht="50.4">
      <c r="A24" s="165" t="s">
        <v>767</v>
      </c>
      <c r="B24" s="166" t="str">
        <f ca="1">IF(LEN(A24)=0,"",INDEX('Smelter Look-up'!$A:$A,MATCH($A24,'Smelter Look-up'!$E:$E,0)))</f>
        <v>Tin</v>
      </c>
      <c r="C24" s="170" t="str">
        <f ca="1">IF(LEN(A24)=0,"",INDEX('Smelter Look-up'!$C:$C,MATCH($A24,'Smelter Look-up'!$E:$E,0)))</f>
        <v>PT Timah Tbk Kundur</v>
      </c>
      <c r="D24" s="213"/>
      <c r="E24" s="166" t="str">
        <f ca="1">IF(ISERROR($V24),"",OFFSET('Smelter Look-up'!$D$4,$V24-4,0)&amp;"")</f>
        <v>INDONESIA</v>
      </c>
      <c r="F24" s="166" t="str">
        <f ca="1">IF(ISERROR($V24),"",OFFSET('Smelter Look-up'!$E$4,$V24-4,0))</f>
        <v>CID001477</v>
      </c>
      <c r="G24" s="166" t="str">
        <f ca="1">IF(C24=$X$4,IF(ISERROR($V24),"Enter smelter details","RMI"),IF(ISERROR($V24),"",OFFSET('Smelter Look-up'!$F$4,$V24-4,0)))</f>
        <v>RMI</v>
      </c>
      <c r="H24" s="167">
        <f ca="1">IF(ISERROR($V24),"",OFFSET('Smelter Look-up'!$G$4,$V24-4,0))</f>
        <v>0</v>
      </c>
      <c r="I24" s="168" t="str">
        <f ca="1">IF(ISERROR($V24),"",OFFSET('Smelter Look-up'!$H$4,$V24-4,0))</f>
        <v>Kundur</v>
      </c>
      <c r="J24" s="168" t="str">
        <f ca="1">IF(ISERROR($V24),"",OFFSET('Smelter Look-up'!$I$4,$V24-4,0))</f>
        <v>Riau</v>
      </c>
      <c r="K24" s="207"/>
      <c r="L24" s="207"/>
      <c r="M24" s="207"/>
      <c r="N24" s="207"/>
      <c r="O24" s="207"/>
      <c r="P24" s="169"/>
      <c r="Q24" s="208"/>
      <c r="R24" s="166" t="str">
        <f ca="1">IF(ISERROR($V24),"",OFFSET('Smelter Look-up'!$C$4,$V24-4,0)&amp;"")</f>
        <v>PT Timah Tbk Kundur</v>
      </c>
      <c r="S24" s="165" t="str">
        <f t="shared" ca="1" si="2"/>
        <v>ID</v>
      </c>
      <c r="T24" s="165" t="str">
        <f ca="1">IF(B24="","",IF(ISERROR(MATCH($J24,SorP!$B$1:$B$6261,0)),"",INDIRECT("'SorP'!$A$"&amp;MATCH($S24&amp;$J24,SorP!C:C,0))))</f>
        <v>ID-RI</v>
      </c>
      <c r="U24" s="185"/>
      <c r="V24" s="209">
        <f ca="1">IF(C24="",NA(),IF(OR(C24="Smelter not listed",C24="Smelter not yet identified"),MATCH($B24&amp;$D24,'Smelter Look-up'!$J:$J,0),MATCH($B24&amp;$C24,'Smelter Look-up'!$J:$J,0)))</f>
        <v>531</v>
      </c>
      <c r="X24" s="210">
        <f t="shared" ca="1" si="3"/>
        <v>0</v>
      </c>
      <c r="AB24" s="211" t="str">
        <f t="shared" ca="1" si="4"/>
        <v>TinPT Timah Tbk Kundur</v>
      </c>
    </row>
    <row r="25" spans="1:28" s="210" customFormat="1" ht="50.4">
      <c r="A25" s="165" t="s">
        <v>750</v>
      </c>
      <c r="B25" s="166" t="str">
        <f ca="1">IF(LEN(A25)=0,"",INDEX('Smelter Look-up'!$A:$A,MATCH($A25,'Smelter Look-up'!$E:$E,0)))</f>
        <v>Tin</v>
      </c>
      <c r="C25" s="170" t="str">
        <f ca="1">IF(LEN(A25)=0,"",INDEX('Smelter Look-up'!$C:$C,MATCH($A25,'Smelter Look-up'!$E:$E,0)))</f>
        <v>PT Timah Tbk Mentok</v>
      </c>
      <c r="D25" s="213"/>
      <c r="E25" s="166" t="str">
        <f ca="1">IF(ISERROR($V25),"",OFFSET('Smelter Look-up'!$D$4,$V25-4,0)&amp;"")</f>
        <v>INDONESIA</v>
      </c>
      <c r="F25" s="166" t="str">
        <f ca="1">IF(ISERROR($V25),"",OFFSET('Smelter Look-up'!$E$4,$V25-4,0))</f>
        <v>CID001482</v>
      </c>
      <c r="G25" s="166" t="str">
        <f ca="1">IF(C25=$X$4,IF(ISERROR($V25),"Enter smelter details","RMI"),IF(ISERROR($V25),"",OFFSET('Smelter Look-up'!$F$4,$V25-4,0)))</f>
        <v>RMI</v>
      </c>
      <c r="H25" s="167">
        <f ca="1">IF(ISERROR($V25),"",OFFSET('Smelter Look-up'!$G$4,$V25-4,0))</f>
        <v>0</v>
      </c>
      <c r="I25" s="168" t="str">
        <f ca="1">IF(ISERROR($V25),"",OFFSET('Smelter Look-up'!$H$4,$V25-4,0))</f>
        <v>Mentok</v>
      </c>
      <c r="J25" s="168" t="str">
        <f ca="1">IF(ISERROR($V25),"",OFFSET('Smelter Look-up'!$I$4,$V25-4,0))</f>
        <v>Kepulauan Bangka Belitung</v>
      </c>
      <c r="K25" s="207"/>
      <c r="L25" s="207"/>
      <c r="M25" s="207"/>
      <c r="N25" s="207"/>
      <c r="O25" s="207"/>
      <c r="P25" s="169"/>
      <c r="Q25" s="208"/>
      <c r="R25" s="166" t="str">
        <f ca="1">IF(ISERROR($V25),"",OFFSET('Smelter Look-up'!$C$4,$V25-4,0)&amp;"")</f>
        <v>PT Timah Tbk Mentok</v>
      </c>
      <c r="S25" s="165" t="str">
        <f t="shared" ca="1" si="2"/>
        <v>ID</v>
      </c>
      <c r="T25" s="165" t="str">
        <f ca="1">IF(B25="","",IF(ISERROR(MATCH($J25,SorP!$B$1:$B$6261,0)),"",INDIRECT("'SorP'!$A$"&amp;MATCH($S25&amp;$J25,SorP!C:C,0))))</f>
        <v>ID-BB</v>
      </c>
      <c r="U25" s="185"/>
      <c r="V25" s="209">
        <f ca="1">IF(C25="",NA(),IF(OR(C25="Smelter not listed",C25="Smelter not yet identified"),MATCH($B25&amp;$D25,'Smelter Look-up'!$J:$J,0),MATCH($B25&amp;$C25,'Smelter Look-up'!$J:$J,0)))</f>
        <v>532</v>
      </c>
      <c r="X25" s="210">
        <f t="shared" ca="1" si="3"/>
        <v>0</v>
      </c>
      <c r="AB25" s="211" t="str">
        <f t="shared" ca="1" si="4"/>
        <v>TinPT Timah Tbk Mentok</v>
      </c>
    </row>
    <row r="26" spans="1:28" s="210" customFormat="1" ht="25.2">
      <c r="A26" s="165" t="s">
        <v>752</v>
      </c>
      <c r="B26" s="166" t="str">
        <f ca="1">IF(LEN(A26)=0,"",INDEX('Smelter Look-up'!$A:$A,MATCH($A26,'Smelter Look-up'!$E:$E,0)))</f>
        <v>Tin</v>
      </c>
      <c r="C26" s="170" t="str">
        <f ca="1">IF(LEN(A26)=0,"",INDEX('Smelter Look-up'!$C:$C,MATCH($A26,'Smelter Look-up'!$E:$E,0)))</f>
        <v>Rui Da Hung</v>
      </c>
      <c r="D26" s="213"/>
      <c r="E26" s="166" t="str">
        <f ca="1">IF(ISERROR($V26),"",OFFSET('Smelter Look-up'!$D$4,$V26-4,0)&amp;"")</f>
        <v>TAIWAN, PROVINCE OF CHINA</v>
      </c>
      <c r="F26" s="166" t="str">
        <f ca="1">IF(ISERROR($V26),"",OFFSET('Smelter Look-up'!$E$4,$V26-4,0))</f>
        <v>CID001539</v>
      </c>
      <c r="G26" s="166" t="str">
        <f ca="1">IF(C26=$X$4,IF(ISERROR($V26),"Enter smelter details","RMI"),IF(ISERROR($V26),"",OFFSET('Smelter Look-up'!$F$4,$V26-4,0)))</f>
        <v>RMI</v>
      </c>
      <c r="H26" s="167">
        <f ca="1">IF(ISERROR($V26),"",OFFSET('Smelter Look-up'!$G$4,$V26-4,0))</f>
        <v>0</v>
      </c>
      <c r="I26" s="168" t="str">
        <f ca="1">IF(ISERROR($V26),"",OFFSET('Smelter Look-up'!$H$4,$V26-4,0))</f>
        <v>Longtan Shiang Taoyuan</v>
      </c>
      <c r="J26" s="168" t="str">
        <f ca="1">IF(ISERROR($V26),"",OFFSET('Smelter Look-up'!$I$4,$V26-4,0))</f>
        <v>Taoyuan</v>
      </c>
      <c r="K26" s="207"/>
      <c r="L26" s="207"/>
      <c r="M26" s="207"/>
      <c r="N26" s="207"/>
      <c r="O26" s="207"/>
      <c r="P26" s="169"/>
      <c r="Q26" s="208"/>
      <c r="R26" s="166" t="str">
        <f ca="1">IF(ISERROR($V26),"",OFFSET('Smelter Look-up'!$C$4,$V26-4,0)&amp;"")</f>
        <v>Rui Da Hung</v>
      </c>
      <c r="S26" s="165" t="str">
        <f t="shared" ca="1" si="2"/>
        <v>TW</v>
      </c>
      <c r="T26" s="165" t="str">
        <f ca="1">IF(B26="","",IF(ISERROR(MATCH($J26,SorP!$B$1:$B$6261,0)),"",INDIRECT("'SorP'!$A$"&amp;MATCH($S26&amp;$J26,SorP!C:C,0))))</f>
        <v>TW-TAO</v>
      </c>
      <c r="U26" s="185"/>
      <c r="V26" s="209">
        <f ca="1">IF(C26="",NA(),IF(OR(C26="Smelter not listed",C26="Smelter not yet identified"),MATCH($B26&amp;$D26,'Smelter Look-up'!$J:$J,0),MATCH($B26&amp;$C26,'Smelter Look-up'!$J:$J,0)))</f>
        <v>537</v>
      </c>
      <c r="X26" s="210">
        <f t="shared" ca="1" si="3"/>
        <v>0</v>
      </c>
      <c r="AB26" s="211" t="str">
        <f t="shared" ca="1" si="4"/>
        <v>TinRui Da Hung</v>
      </c>
    </row>
    <row r="27" spans="1:28" s="210" customFormat="1" ht="25.2">
      <c r="A27" s="165" t="s">
        <v>753</v>
      </c>
      <c r="B27" s="166" t="str">
        <f ca="1">IF(LEN(A27)=0,"",INDEX('Smelter Look-up'!$A:$A,MATCH($A27,'Smelter Look-up'!$E:$E,0)))</f>
        <v>Tin</v>
      </c>
      <c r="C27" s="170" t="str">
        <f ca="1">IF(LEN(A27)=0,"",INDEX('Smelter Look-up'!$C:$C,MATCH($A27,'Smelter Look-up'!$E:$E,0)))</f>
        <v>Thaisarco</v>
      </c>
      <c r="D27" s="213"/>
      <c r="E27" s="166" t="str">
        <f ca="1">IF(ISERROR($V27),"",OFFSET('Smelter Look-up'!$D$4,$V27-4,0)&amp;"")</f>
        <v>THAILAND</v>
      </c>
      <c r="F27" s="166" t="str">
        <f ca="1">IF(ISERROR($V27),"",OFFSET('Smelter Look-up'!$E$4,$V27-4,0))</f>
        <v>CID001898</v>
      </c>
      <c r="G27" s="166" t="str">
        <f ca="1">IF(C27=$X$4,IF(ISERROR($V27),"Enter smelter details","RMI"),IF(ISERROR($V27),"",OFFSET('Smelter Look-up'!$F$4,$V27-4,0)))</f>
        <v>RMI</v>
      </c>
      <c r="H27" s="167">
        <f ca="1">IF(ISERROR($V27),"",OFFSET('Smelter Look-up'!$G$4,$V27-4,0))</f>
        <v>0</v>
      </c>
      <c r="I27" s="168" t="str">
        <f ca="1">IF(ISERROR($V27),"",OFFSET('Smelter Look-up'!$H$4,$V27-4,0))</f>
        <v>Amphur Muang</v>
      </c>
      <c r="J27" s="168" t="str">
        <f ca="1">IF(ISERROR($V27),"",OFFSET('Smelter Look-up'!$I$4,$V27-4,0))</f>
        <v>Phuket</v>
      </c>
      <c r="K27" s="207"/>
      <c r="L27" s="207"/>
      <c r="M27" s="207"/>
      <c r="N27" s="207"/>
      <c r="O27" s="207"/>
      <c r="P27" s="169"/>
      <c r="Q27" s="208"/>
      <c r="R27" s="166" t="str">
        <f ca="1">IF(ISERROR($V27),"",OFFSET('Smelter Look-up'!$C$4,$V27-4,0)&amp;"")</f>
        <v>Thaisarco</v>
      </c>
      <c r="S27" s="165" t="str">
        <f t="shared" ca="1" si="2"/>
        <v>TH</v>
      </c>
      <c r="T27" s="165" t="str">
        <f ca="1">IF(B27="","",IF(ISERROR(MATCH($J27,SorP!$B$1:$B$6261,0)),"",INDIRECT("'SorP'!$A$"&amp;MATCH($S27&amp;$J27,SorP!C:C,0))))</f>
        <v>TH-83</v>
      </c>
      <c r="U27" s="185"/>
      <c r="V27" s="209">
        <f ca="1">IF(C27="",NA(),IF(OR(C27="Smelter not listed",C27="Smelter not yet identified"),MATCH($B27&amp;$D27,'Smelter Look-up'!$J:$J,0),MATCH($B27&amp;$C27,'Smelter Look-up'!$J:$J,0)))</f>
        <v>543</v>
      </c>
      <c r="X27" s="210">
        <f t="shared" ca="1" si="3"/>
        <v>0</v>
      </c>
      <c r="AB27" s="211" t="str">
        <f t="shared" ca="1" si="4"/>
        <v>TinThaisarco</v>
      </c>
    </row>
    <row r="28" spans="1:28" s="210" customFormat="1" ht="75.599999999999994">
      <c r="A28" s="165" t="s">
        <v>754</v>
      </c>
      <c r="B28" s="166" t="str">
        <f ca="1">IF(LEN(A28)=0,"",INDEX('Smelter Look-up'!$A:$A,MATCH($A28,'Smelter Look-up'!$E:$E,0)))</f>
        <v>Tin</v>
      </c>
      <c r="C28" s="170" t="str">
        <f ca="1">IF(LEN(A28)=0,"",INDEX('Smelter Look-up'!$C:$C,MATCH($A28,'Smelter Look-up'!$E:$E,0)))</f>
        <v>White Solder Metalurgia e Mineracao Ltda.</v>
      </c>
      <c r="D28" s="213"/>
      <c r="E28" s="166" t="str">
        <f ca="1">IF(ISERROR($V28),"",OFFSET('Smelter Look-up'!$D$4,$V28-4,0)&amp;"")</f>
        <v>BRAZIL</v>
      </c>
      <c r="F28" s="166" t="str">
        <f ca="1">IF(ISERROR($V28),"",OFFSET('Smelter Look-up'!$E$4,$V28-4,0))</f>
        <v>CID002036</v>
      </c>
      <c r="G28" s="166" t="str">
        <f ca="1">IF(C28=$X$4,IF(ISERROR($V28),"Enter smelter details","RMI"),IF(ISERROR($V28),"",OFFSET('Smelter Look-up'!$F$4,$V28-4,0)))</f>
        <v>RMI</v>
      </c>
      <c r="H28" s="167">
        <f ca="1">IF(ISERROR($V28),"",OFFSET('Smelter Look-up'!$G$4,$V28-4,0))</f>
        <v>0</v>
      </c>
      <c r="I28" s="168" t="str">
        <f ca="1">IF(ISERROR($V28),"",OFFSET('Smelter Look-up'!$H$4,$V28-4,0))</f>
        <v>Ariquemes</v>
      </c>
      <c r="J28" s="168" t="str">
        <f ca="1">IF(ISERROR($V28),"",OFFSET('Smelter Look-up'!$I$4,$V28-4,0))</f>
        <v>Rondônia</v>
      </c>
      <c r="K28" s="207"/>
      <c r="L28" s="207"/>
      <c r="M28" s="207"/>
      <c r="N28" s="207"/>
      <c r="O28" s="207"/>
      <c r="P28" s="169"/>
      <c r="Q28" s="208"/>
      <c r="R28" s="166" t="str">
        <f ca="1">IF(ISERROR($V28),"",OFFSET('Smelter Look-up'!$C$4,$V28-4,0)&amp;"")</f>
        <v>White Solder Metalurgia e Mineracao Ltda.</v>
      </c>
      <c r="S28" s="165" t="str">
        <f t="shared" ca="1" si="2"/>
        <v>BR</v>
      </c>
      <c r="T28" s="165" t="str">
        <f ca="1">IF(B28="","",IF(ISERROR(MATCH($J28,SorP!$B$1:$B$6261,0)),"",INDIRECT("'SorP'!$A$"&amp;MATCH($S28&amp;$J28,SorP!C:C,0))))</f>
        <v>BR-RO</v>
      </c>
      <c r="U28" s="185"/>
      <c r="V28" s="209">
        <f ca="1">IF(C28="",NA(),IF(OR(C28="Smelter not listed",C28="Smelter not yet identified"),MATCH($B28&amp;$D28,'Smelter Look-up'!$J:$J,0),MATCH($B28&amp;$C28,'Smelter Look-up'!$J:$J,0)))</f>
        <v>551</v>
      </c>
      <c r="X28" s="210">
        <f t="shared" ca="1" si="3"/>
        <v>0</v>
      </c>
      <c r="AB28" s="211" t="str">
        <f t="shared" ca="1" si="4"/>
        <v>TinWhite Solder Metalurgia e Mineracao Ltda.</v>
      </c>
    </row>
    <row r="29" spans="1:28" s="210" customFormat="1" ht="88.2">
      <c r="A29" s="165" t="s">
        <v>756</v>
      </c>
      <c r="B29" s="166" t="str">
        <f ca="1">IF(LEN(A29)=0,"",INDEX('Smelter Look-up'!$A:$A,MATCH($A29,'Smelter Look-up'!$E:$E,0)))</f>
        <v>Tin</v>
      </c>
      <c r="C29" s="170" t="str">
        <f ca="1">IF(LEN(A29)=0,"",INDEX('Smelter Look-up'!$C:$C,MATCH($A29,'Smelter Look-up'!$E:$E,0)))</f>
        <v>Tin Smelting Branch of Yunnan Tin Co., Ltd.</v>
      </c>
      <c r="D29" s="213"/>
      <c r="E29" s="166" t="str">
        <f ca="1">IF(ISERROR($V29),"",OFFSET('Smelter Look-up'!$D$4,$V29-4,0)&amp;"")</f>
        <v>CHINA</v>
      </c>
      <c r="F29" s="166" t="str">
        <f ca="1">IF(ISERROR($V29),"",OFFSET('Smelter Look-up'!$E$4,$V29-4,0))</f>
        <v>CID002180</v>
      </c>
      <c r="G29" s="166" t="str">
        <f ca="1">IF(C29=$X$4,IF(ISERROR($V29),"Enter smelter details","RMI"),IF(ISERROR($V29),"",OFFSET('Smelter Look-up'!$F$4,$V29-4,0)))</f>
        <v>RMI</v>
      </c>
      <c r="H29" s="167">
        <f ca="1">IF(ISERROR($V29),"",OFFSET('Smelter Look-up'!$G$4,$V29-4,0))</f>
        <v>0</v>
      </c>
      <c r="I29" s="168" t="str">
        <f ca="1">IF(ISERROR($V29),"",OFFSET('Smelter Look-up'!$H$4,$V29-4,0))</f>
        <v>Gejiu</v>
      </c>
      <c r="J29" s="168" t="str">
        <f ca="1">IF(ISERROR($V29),"",OFFSET('Smelter Look-up'!$I$4,$V29-4,0))</f>
        <v>Yunnan Sheng</v>
      </c>
      <c r="K29" s="207"/>
      <c r="L29" s="207"/>
      <c r="M29" s="207"/>
      <c r="N29" s="207"/>
      <c r="O29" s="207"/>
      <c r="P29" s="169"/>
      <c r="Q29" s="208"/>
      <c r="R29" s="166" t="str">
        <f ca="1">IF(ISERROR($V29),"",OFFSET('Smelter Look-up'!$C$4,$V29-4,0)&amp;"")</f>
        <v>Tin Smelting Branch of Yunnan Tin Co., Ltd.</v>
      </c>
      <c r="S29" s="165" t="str">
        <f t="shared" ca="1" si="2"/>
        <v>CN</v>
      </c>
      <c r="T29" s="165" t="str">
        <f ca="1">IF(B29="","",IF(ISERROR(MATCH($J29,SorP!$B$1:$B$6261,0)),"",INDIRECT("'SorP'!$A$"&amp;MATCH($S29&amp;$J29,SorP!C:C,0))))</f>
        <v>CN-YN</v>
      </c>
      <c r="U29" s="185"/>
      <c r="V29" s="209">
        <f ca="1">IF(C29="",NA(),IF(OR(C29="Smelter not listed",C29="Smelter not yet identified"),MATCH($B29&amp;$D29,'Smelter Look-up'!$J:$J,0),MATCH($B29&amp;$C29,'Smelter Look-up'!$J:$J,0)))</f>
        <v>546</v>
      </c>
      <c r="X29" s="210">
        <f t="shared" ca="1" si="3"/>
        <v>0</v>
      </c>
      <c r="AB29" s="211" t="str">
        <f t="shared" ca="1" si="4"/>
        <v>TinTin Smelting Branch of Yunnan Tin Co., Ltd.</v>
      </c>
    </row>
    <row r="30" spans="1:28" s="210" customFormat="1" ht="75.599999999999994">
      <c r="A30" s="165" t="s">
        <v>131</v>
      </c>
      <c r="B30" s="166" t="str">
        <f ca="1">IF(LEN(A30)=0,"",INDEX('Smelter Look-up'!$A:$A,MATCH($A30,'Smelter Look-up'!$E:$E,0)))</f>
        <v>Tin</v>
      </c>
      <c r="C30" s="170" t="str">
        <f ca="1">IF(LEN(A30)=0,"",INDEX('Smelter Look-up'!$C:$C,MATCH($A30,'Smelter Look-up'!$E:$E,0)))</f>
        <v>Magnu's Minerais Metais e Ligas Ltda.</v>
      </c>
      <c r="D30" s="213"/>
      <c r="E30" s="166" t="str">
        <f ca="1">IF(ISERROR($V30),"",OFFSET('Smelter Look-up'!$D$4,$V30-4,0)&amp;"")</f>
        <v>BRAZIL</v>
      </c>
      <c r="F30" s="166" t="str">
        <f ca="1">IF(ISERROR($V30),"",OFFSET('Smelter Look-up'!$E$4,$V30-4,0))</f>
        <v>CID002468</v>
      </c>
      <c r="G30" s="166" t="str">
        <f ca="1">IF(C30=$X$4,IF(ISERROR($V30),"Enter smelter details","RMI"),IF(ISERROR($V30),"",OFFSET('Smelter Look-up'!$F$4,$V30-4,0)))</f>
        <v>RMI</v>
      </c>
      <c r="H30" s="167">
        <f ca="1">IF(ISERROR($V30),"",OFFSET('Smelter Look-up'!$G$4,$V30-4,0))</f>
        <v>0</v>
      </c>
      <c r="I30" s="168" t="str">
        <f ca="1">IF(ISERROR($V30),"",OFFSET('Smelter Look-up'!$H$4,$V30-4,0))</f>
        <v>São João del Rei</v>
      </c>
      <c r="J30" s="168" t="str">
        <f ca="1">IF(ISERROR($V30),"",OFFSET('Smelter Look-up'!$I$4,$V30-4,0))</f>
        <v>Minas Gerais</v>
      </c>
      <c r="K30" s="207"/>
      <c r="L30" s="207"/>
      <c r="M30" s="207"/>
      <c r="N30" s="207"/>
      <c r="O30" s="207"/>
      <c r="P30" s="169"/>
      <c r="Q30" s="208"/>
      <c r="R30" s="166" t="str">
        <f ca="1">IF(ISERROR($V30),"",OFFSET('Smelter Look-up'!$C$4,$V30-4,0)&amp;"")</f>
        <v>Magnu's Minerais Metais e Ligas Ltda.</v>
      </c>
      <c r="S30" s="165" t="str">
        <f t="shared" ca="1" si="2"/>
        <v>BR</v>
      </c>
      <c r="T30" s="165" t="str">
        <f ca="1">IF(B30="","",IF(ISERROR(MATCH($J30,SorP!$B$1:$B$6261,0)),"",INDIRECT("'SorP'!$A$"&amp;MATCH($S30&amp;$J30,SorP!C:C,0))))</f>
        <v>BR-MG</v>
      </c>
      <c r="U30" s="185"/>
      <c r="V30" s="209">
        <f ca="1">IF(C30="",NA(),IF(OR(C30="Smelter not listed",C30="Smelter not yet identified"),MATCH($B30&amp;$D30,'Smelter Look-up'!$J:$J,0),MATCH($B30&amp;$C30,'Smelter Look-up'!$J:$J,0)))</f>
        <v>490</v>
      </c>
      <c r="X30" s="210">
        <f t="shared" ca="1" si="3"/>
        <v>0</v>
      </c>
      <c r="AB30" s="211" t="str">
        <f t="shared" ca="1" si="4"/>
        <v>TinMagnu's Minerais Metais e Ligas Ltda.</v>
      </c>
    </row>
    <row r="31" spans="1:28" s="210" customFormat="1" ht="63">
      <c r="A31" s="165" t="s">
        <v>1356</v>
      </c>
      <c r="B31" s="166" t="str">
        <f ca="1">IF(LEN(A31)=0,"",INDEX('Smelter Look-up'!$A:$A,MATCH($A31,'Smelter Look-up'!$E:$E,0)))</f>
        <v>Tin</v>
      </c>
      <c r="C31" s="170" t="str">
        <f ca="1">IF(LEN(A31)=0,"",INDEX('Smelter Look-up'!$C:$C,MATCH($A31,'Smelter Look-up'!$E:$E,0)))</f>
        <v>PT ATD Makmur Mandiri Jaya</v>
      </c>
      <c r="D31" s="213"/>
      <c r="E31" s="166" t="str">
        <f ca="1">IF(ISERROR($V31),"",OFFSET('Smelter Look-up'!$D$4,$V31-4,0)&amp;"")</f>
        <v>INDONESIA</v>
      </c>
      <c r="F31" s="166" t="str">
        <f ca="1">IF(ISERROR($V31),"",OFFSET('Smelter Look-up'!$E$4,$V31-4,0))</f>
        <v>CID002503</v>
      </c>
      <c r="G31" s="166" t="str">
        <f ca="1">IF(C31=$X$4,IF(ISERROR($V31),"Enter smelter details","RMI"),IF(ISERROR($V31),"",OFFSET('Smelter Look-up'!$F$4,$V31-4,0)))</f>
        <v>RMI</v>
      </c>
      <c r="H31" s="167">
        <f ca="1">IF(ISERROR($V31),"",OFFSET('Smelter Look-up'!$G$4,$V31-4,0))</f>
        <v>0</v>
      </c>
      <c r="I31" s="168" t="str">
        <f ca="1">IF(ISERROR($V31),"",OFFSET('Smelter Look-up'!$H$4,$V31-4,0))</f>
        <v>Sungailiat</v>
      </c>
      <c r="J31" s="168" t="str">
        <f ca="1">IF(ISERROR($V31),"",OFFSET('Smelter Look-up'!$I$4,$V31-4,0))</f>
        <v>Kepulauan Bangka Belitung</v>
      </c>
      <c r="K31" s="207"/>
      <c r="L31" s="207"/>
      <c r="M31" s="207"/>
      <c r="N31" s="207"/>
      <c r="O31" s="207"/>
      <c r="P31" s="169"/>
      <c r="Q31" s="208"/>
      <c r="R31" s="166" t="str">
        <f ca="1">IF(ISERROR($V31),"",OFFSET('Smelter Look-up'!$C$4,$V31-4,0)&amp;"")</f>
        <v>PT ATD Makmur Mandiri Jaya</v>
      </c>
      <c r="S31" s="165" t="str">
        <f t="shared" ca="1" si="2"/>
        <v>ID</v>
      </c>
      <c r="T31" s="165" t="str">
        <f ca="1">IF(B31="","",IF(ISERROR(MATCH($J31,SorP!$B$1:$B$6261,0)),"",INDIRECT("'SorP'!$A$"&amp;MATCH($S31&amp;$J31,SorP!C:C,0))))</f>
        <v>ID-BB</v>
      </c>
      <c r="U31" s="185"/>
      <c r="V31" s="209">
        <f ca="1">IF(C31="",NA(),IF(OR(C31="Smelter not listed",C31="Smelter not yet identified"),MATCH($B31&amp;$D31,'Smelter Look-up'!$J:$J,0),MATCH($B31&amp;$C31,'Smelter Look-up'!$J:$J,0)))</f>
        <v>520</v>
      </c>
      <c r="X31" s="210">
        <f t="shared" ca="1" si="3"/>
        <v>0</v>
      </c>
      <c r="AB31" s="211" t="str">
        <f t="shared" ca="1" si="4"/>
        <v>TinPT ATD Makmur Mandiri Jaya</v>
      </c>
    </row>
    <row r="32" spans="1:28" s="210" customFormat="1" ht="63">
      <c r="A32" s="165" t="s">
        <v>1354</v>
      </c>
      <c r="B32" s="166" t="str">
        <f ca="1">IF(LEN(A32)=0,"",INDEX('Smelter Look-up'!$A:$A,MATCH($A32,'Smelter Look-up'!$E:$E,0)))</f>
        <v>Tin</v>
      </c>
      <c r="C32" s="170" t="str">
        <f ca="1">IF(LEN(A32)=0,"",INDEX('Smelter Look-up'!$C:$C,MATCH($A32,'Smelter Look-up'!$E:$E,0)))</f>
        <v>O.M. Manufacturing Philippines, Inc.</v>
      </c>
      <c r="D32" s="213"/>
      <c r="E32" s="166" t="str">
        <f ca="1">IF(ISERROR($V32),"",OFFSET('Smelter Look-up'!$D$4,$V32-4,0)&amp;"")</f>
        <v>PHILIPPINES</v>
      </c>
      <c r="F32" s="166" t="str">
        <f ca="1">IF(ISERROR($V32),"",OFFSET('Smelter Look-up'!$E$4,$V32-4,0))</f>
        <v>CID002517</v>
      </c>
      <c r="G32" s="166" t="str">
        <f ca="1">IF(C32=$X$4,IF(ISERROR($V32),"Enter smelter details","RMI"),IF(ISERROR($V32),"",OFFSET('Smelter Look-up'!$F$4,$V32-4,0)))</f>
        <v>RMI</v>
      </c>
      <c r="H32" s="167">
        <f ca="1">IF(ISERROR($V32),"",OFFSET('Smelter Look-up'!$G$4,$V32-4,0))</f>
        <v>0</v>
      </c>
      <c r="I32" s="168" t="str">
        <f ca="1">IF(ISERROR($V32),"",OFFSET('Smelter Look-up'!$H$4,$V32-4,0))</f>
        <v>Rosario</v>
      </c>
      <c r="J32" s="168" t="str">
        <f ca="1">IF(ISERROR($V32),"",OFFSET('Smelter Look-up'!$I$4,$V32-4,0))</f>
        <v>Cavite</v>
      </c>
      <c r="K32" s="207"/>
      <c r="L32" s="207"/>
      <c r="M32" s="207"/>
      <c r="N32" s="207"/>
      <c r="O32" s="207"/>
      <c r="P32" s="169"/>
      <c r="Q32" s="208"/>
      <c r="R32" s="166" t="str">
        <f ca="1">IF(ISERROR($V32),"",OFFSET('Smelter Look-up'!$C$4,$V32-4,0)&amp;"")</f>
        <v>O.M. Manufacturing Philippines, Inc.</v>
      </c>
      <c r="S32" s="165" t="str">
        <f t="shared" ca="1" si="2"/>
        <v>PH</v>
      </c>
      <c r="T32" s="165" t="str">
        <f ca="1">IF(B32="","",IF(ISERROR(MATCH($J32,SorP!$B$1:$B$6261,0)),"",INDIRECT("'SorP'!$A$"&amp;MATCH($S32&amp;$J32,SorP!C:C,0))))</f>
        <v>PH-CAV</v>
      </c>
      <c r="U32" s="185"/>
      <c r="V32" s="209">
        <f ca="1">IF(C32="",NA(),IF(OR(C32="Smelter not listed",C32="Smelter not yet identified"),MATCH($B32&amp;$D32,'Smelter Look-up'!$J:$J,0),MATCH($B32&amp;$C32,'Smelter Look-up'!$J:$J,0)))</f>
        <v>512</v>
      </c>
      <c r="X32" s="210">
        <f t="shared" ca="1" si="3"/>
        <v>0</v>
      </c>
      <c r="AB32" s="211" t="str">
        <f t="shared" ca="1" si="4"/>
        <v>TinO.M. Manufacturing Philippines, Inc.</v>
      </c>
    </row>
    <row r="33" spans="1:28" s="210" customFormat="1" ht="25.2">
      <c r="A33" s="165" t="s">
        <v>15452</v>
      </c>
      <c r="B33" s="166" t="str">
        <f ca="1">IF(LEN(A33)=0,"",INDEX('Smelter Look-up'!$A:$A,MATCH($A33,'Smelter Look-up'!$E:$E,0)))</f>
        <v>Tin</v>
      </c>
      <c r="C33" s="170" t="str">
        <f ca="1">IF(LEN(A33)=0,"",INDEX('Smelter Look-up'!$C:$C,MATCH($A33,'Smelter Look-up'!$E:$E,0)))</f>
        <v>CV Ayi Jaya</v>
      </c>
      <c r="D33" s="213"/>
      <c r="E33" s="166" t="str">
        <f ca="1">IF(ISERROR($V33),"",OFFSET('Smelter Look-up'!$D$4,$V33-4,0)&amp;"")</f>
        <v>INDONESIA</v>
      </c>
      <c r="F33" s="166" t="str">
        <f ca="1">IF(ISERROR($V33),"",OFFSET('Smelter Look-up'!$E$4,$V33-4,0))</f>
        <v>CID002570</v>
      </c>
      <c r="G33" s="166" t="str">
        <f ca="1">IF(C33=$X$4,IF(ISERROR($V33),"Enter smelter details","RMI"),IF(ISERROR($V33),"",OFFSET('Smelter Look-up'!$F$4,$V33-4,0)))</f>
        <v>RMI</v>
      </c>
      <c r="H33" s="167">
        <f ca="1">IF(ISERROR($V33),"",OFFSET('Smelter Look-up'!$G$4,$V33-4,0))</f>
        <v>0</v>
      </c>
      <c r="I33" s="168" t="str">
        <f ca="1">IF(ISERROR($V33),"",OFFSET('Smelter Look-up'!$H$4,$V33-4,0))</f>
        <v>Sungailiat</v>
      </c>
      <c r="J33" s="168" t="str">
        <f ca="1">IF(ISERROR($V33),"",OFFSET('Smelter Look-up'!$I$4,$V33-4,0))</f>
        <v>Kepulauan Bangka Belitung</v>
      </c>
      <c r="K33" s="207"/>
      <c r="L33" s="207"/>
      <c r="M33" s="207"/>
      <c r="N33" s="207"/>
      <c r="O33" s="207"/>
      <c r="P33" s="169"/>
      <c r="Q33" s="208"/>
      <c r="R33" s="166" t="str">
        <f ca="1">IF(ISERROR($V33),"",OFFSET('Smelter Look-up'!$C$4,$V33-4,0)&amp;"")</f>
        <v>CV Ayi Jaya</v>
      </c>
      <c r="S33" s="165" t="str">
        <f t="shared" ca="1" si="2"/>
        <v>ID</v>
      </c>
      <c r="T33" s="165" t="str">
        <f ca="1">IF(B33="","",IF(ISERROR(MATCH($J33,SorP!$B$1:$B$6261,0)),"",INDIRECT("'SorP'!$A$"&amp;MATCH($S33&amp;$J33,SorP!C:C,0))))</f>
        <v>ID-BB</v>
      </c>
      <c r="U33" s="185"/>
      <c r="V33" s="209">
        <f ca="1">IF(C33="",NA(),IF(OR(C33="Smelter not listed",C33="Smelter not yet identified"),MATCH($B33&amp;$D33,'Smelter Look-up'!$J:$J,0),MATCH($B33&amp;$C33,'Smelter Look-up'!$J:$J,0)))</f>
        <v>443</v>
      </c>
      <c r="X33" s="210">
        <f t="shared" ca="1" si="3"/>
        <v>0</v>
      </c>
      <c r="AB33" s="211" t="str">
        <f t="shared" ca="1" si="4"/>
        <v>TinCV Ayi Jaya</v>
      </c>
    </row>
    <row r="34" spans="1:28" s="210" customFormat="1" ht="37.799999999999997">
      <c r="A34" s="165" t="s">
        <v>15179</v>
      </c>
      <c r="B34" s="166" t="str">
        <f ca="1">IF(LEN(A34)=0,"",INDEX('Smelter Look-up'!$A:$A,MATCH($A34,'Smelter Look-up'!$E:$E,0)))</f>
        <v>Tin</v>
      </c>
      <c r="C34" s="170" t="str">
        <f ca="1">IF(LEN(A34)=0,"",INDEX('Smelter Look-up'!$C:$C,MATCH($A34,'Smelter Look-up'!$E:$E,0)))</f>
        <v>PT Rajehan Ariq</v>
      </c>
      <c r="D34" s="213"/>
      <c r="E34" s="166" t="str">
        <f ca="1">IF(ISERROR($V34),"",OFFSET('Smelter Look-up'!$D$4,$V34-4,0)&amp;"")</f>
        <v>INDONESIA</v>
      </c>
      <c r="F34" s="166" t="str">
        <f ca="1">IF(ISERROR($V34),"",OFFSET('Smelter Look-up'!$E$4,$V34-4,0))</f>
        <v>CID002593</v>
      </c>
      <c r="G34" s="166" t="str">
        <f ca="1">IF(C34=$X$4,IF(ISERROR($V34),"Enter smelter details","RMI"),IF(ISERROR($V34),"",OFFSET('Smelter Look-up'!$F$4,$V34-4,0)))</f>
        <v>RMI</v>
      </c>
      <c r="H34" s="167">
        <f ca="1">IF(ISERROR($V34),"",OFFSET('Smelter Look-up'!$G$4,$V34-4,0))</f>
        <v>0</v>
      </c>
      <c r="I34" s="168" t="str">
        <f ca="1">IF(ISERROR($V34),"",OFFSET('Smelter Look-up'!$H$4,$V34-4,0))</f>
        <v>Pangkal Pinang</v>
      </c>
      <c r="J34" s="168" t="str">
        <f ca="1">IF(ISERROR($V34),"",OFFSET('Smelter Look-up'!$I$4,$V34-4,0))</f>
        <v>Kepulauan Bangka Belitung</v>
      </c>
      <c r="K34" s="207"/>
      <c r="L34" s="207"/>
      <c r="M34" s="207"/>
      <c r="N34" s="207"/>
      <c r="O34" s="207"/>
      <c r="P34" s="169"/>
      <c r="Q34" s="208"/>
      <c r="R34" s="166" t="str">
        <f ca="1">IF(ISERROR($V34),"",OFFSET('Smelter Look-up'!$C$4,$V34-4,0)&amp;"")</f>
        <v>PT Rajehan Ariq</v>
      </c>
      <c r="S34" s="165" t="str">
        <f t="shared" ca="1" si="2"/>
        <v>ID</v>
      </c>
      <c r="T34" s="165" t="str">
        <f ca="1">IF(B34="","",IF(ISERROR(MATCH($J34,SorP!$B$1:$B$6261,0)),"",INDIRECT("'SorP'!$A$"&amp;MATCH($S34&amp;$J34,SorP!C:C,0))))</f>
        <v>ID-BB</v>
      </c>
      <c r="U34" s="185"/>
      <c r="V34" s="209">
        <f ca="1">IF(C34="",NA(),IF(OR(C34="Smelter not listed",C34="Smelter not yet identified"),MATCH($B34&amp;$D34,'Smelter Look-up'!$J:$J,0),MATCH($B34&amp;$C34,'Smelter Look-up'!$J:$J,0)))</f>
        <v>529</v>
      </c>
      <c r="X34" s="210">
        <f t="shared" ca="1" si="3"/>
        <v>0</v>
      </c>
      <c r="AB34" s="211" t="str">
        <f t="shared" ca="1" si="4"/>
        <v>TinPT Rajehan Ariq</v>
      </c>
    </row>
    <row r="35" spans="1:28" s="210" customFormat="1" ht="50.4">
      <c r="A35" s="165" t="s">
        <v>14870</v>
      </c>
      <c r="B35" s="166" t="str">
        <f ca="1">IF(LEN(A35)=0,"",INDEX('Smelter Look-up'!$A:$A,MATCH($A35,'Smelter Look-up'!$E:$E,0)))</f>
        <v>Tin</v>
      </c>
      <c r="C35" s="170" t="str">
        <f ca="1">IF(LEN(A35)=0,"",INDEX('Smelter Look-up'!$C:$C,MATCH($A35,'Smelter Look-up'!$E:$E,0)))</f>
        <v>PT Cipta Persada Mulia</v>
      </c>
      <c r="D35" s="213"/>
      <c r="E35" s="166" t="str">
        <f ca="1">IF(ISERROR($V35),"",OFFSET('Smelter Look-up'!$D$4,$V35-4,0)&amp;"")</f>
        <v>INDONESIA</v>
      </c>
      <c r="F35" s="166" t="str">
        <f ca="1">IF(ISERROR($V35),"",OFFSET('Smelter Look-up'!$E$4,$V35-4,0))</f>
        <v>CID002696</v>
      </c>
      <c r="G35" s="166" t="str">
        <f ca="1">IF(C35=$X$4,IF(ISERROR($V35),"Enter smelter details","RMI"),IF(ISERROR($V35),"",OFFSET('Smelter Look-up'!$F$4,$V35-4,0)))</f>
        <v>RMI</v>
      </c>
      <c r="H35" s="167">
        <f ca="1">IF(ISERROR($V35),"",OFFSET('Smelter Look-up'!$G$4,$V35-4,0))</f>
        <v>0</v>
      </c>
      <c r="I35" s="168" t="str">
        <f ca="1">IF(ISERROR($V35),"",OFFSET('Smelter Look-up'!$H$4,$V35-4,0))</f>
        <v>Batam</v>
      </c>
      <c r="J35" s="168" t="str">
        <f ca="1">IF(ISERROR($V35),"",OFFSET('Smelter Look-up'!$I$4,$V35-4,0))</f>
        <v>Kepulauan Riau</v>
      </c>
      <c r="K35" s="207"/>
      <c r="L35" s="207"/>
      <c r="M35" s="207"/>
      <c r="N35" s="207"/>
      <c r="O35" s="207"/>
      <c r="P35" s="169"/>
      <c r="Q35" s="208"/>
      <c r="R35" s="166" t="str">
        <f ca="1">IF(ISERROR($V35),"",OFFSET('Smelter Look-up'!$C$4,$V35-4,0)&amp;"")</f>
        <v>PT Cipta Persada Mulia</v>
      </c>
      <c r="S35" s="165" t="str">
        <f t="shared" ca="1" si="2"/>
        <v>ID</v>
      </c>
      <c r="T35" s="165" t="str">
        <f ca="1">IF(B35="","",IF(ISERROR(MATCH($J35,SorP!$B$1:$B$6261,0)),"",INDIRECT("'SorP'!$A$"&amp;MATCH($S35&amp;$J35,SorP!C:C,0))))</f>
        <v>ID-KR</v>
      </c>
      <c r="U35" s="185"/>
      <c r="V35" s="209">
        <f ca="1">IF(C35="",NA(),IF(OR(C35="Smelter not listed",C35="Smelter not yet identified"),MATCH($B35&amp;$D35,'Smelter Look-up'!$J:$J,0),MATCH($B35&amp;$C35,'Smelter Look-up'!$J:$J,0)))</f>
        <v>522</v>
      </c>
      <c r="X35" s="210">
        <f t="shared" ca="1" si="3"/>
        <v>0</v>
      </c>
      <c r="AB35" s="211" t="str">
        <f t="shared" ca="1" si="4"/>
        <v>TinPT Cipta Persada Mulia</v>
      </c>
    </row>
    <row r="36" spans="1:28" s="210" customFormat="1" ht="75.599999999999994">
      <c r="A36" s="165" t="s">
        <v>1727</v>
      </c>
      <c r="B36" s="166" t="str">
        <f ca="1">IF(LEN(A36)=0,"",INDEX('Smelter Look-up'!$A:$A,MATCH($A36,'Smelter Look-up'!$E:$E,0)))</f>
        <v>Tin</v>
      </c>
      <c r="C36" s="170" t="str">
        <f ca="1">IF(LEN(A36)=0,"",INDEX('Smelter Look-up'!$C:$C,MATCH($A36,'Smelter Look-up'!$E:$E,0)))</f>
        <v>Resind Industria e Comercio Ltda.</v>
      </c>
      <c r="D36" s="213"/>
      <c r="E36" s="166" t="str">
        <f ca="1">IF(ISERROR($V36),"",OFFSET('Smelter Look-up'!$D$4,$V36-4,0)&amp;"")</f>
        <v>BRAZIL</v>
      </c>
      <c r="F36" s="166" t="str">
        <f ca="1">IF(ISERROR($V36),"",OFFSET('Smelter Look-up'!$E$4,$V36-4,0))</f>
        <v>CID002706</v>
      </c>
      <c r="G36" s="166" t="str">
        <f ca="1">IF(C36=$X$4,IF(ISERROR($V36),"Enter smelter details","RMI"),IF(ISERROR($V36),"",OFFSET('Smelter Look-up'!$F$4,$V36-4,0)))</f>
        <v>RMI</v>
      </c>
      <c r="H36" s="167">
        <f ca="1">IF(ISERROR($V36),"",OFFSET('Smelter Look-up'!$G$4,$V36-4,0))</f>
        <v>0</v>
      </c>
      <c r="I36" s="168" t="str">
        <f ca="1">IF(ISERROR($V36),"",OFFSET('Smelter Look-up'!$H$4,$V36-4,0))</f>
        <v>São João del Rei</v>
      </c>
      <c r="J36" s="168" t="str">
        <f ca="1">IF(ISERROR($V36),"",OFFSET('Smelter Look-up'!$I$4,$V36-4,0))</f>
        <v>Minas gerais</v>
      </c>
      <c r="K36" s="207"/>
      <c r="L36" s="207"/>
      <c r="M36" s="207"/>
      <c r="N36" s="207"/>
      <c r="O36" s="207"/>
      <c r="P36" s="169"/>
      <c r="Q36" s="208"/>
      <c r="R36" s="166" t="str">
        <f ca="1">IF(ISERROR($V36),"",OFFSET('Smelter Look-up'!$C$4,$V36-4,0)&amp;"")</f>
        <v>Resind Industria e Comercio Ltda.</v>
      </c>
      <c r="S36" s="165" t="str">
        <f t="shared" ca="1" si="2"/>
        <v>BR</v>
      </c>
      <c r="T36" s="165" t="str">
        <f ca="1">IF(B36="","",IF(ISERROR(MATCH($J36,SorP!$B$1:$B$6261,0)),"",INDIRECT("'SorP'!$A$"&amp;MATCH($S36&amp;$J36,SorP!C:C,0))))</f>
        <v>BR-MG</v>
      </c>
      <c r="U36" s="185"/>
      <c r="V36" s="209">
        <f ca="1">IF(C36="",NA(),IF(OR(C36="Smelter not listed",C36="Smelter not yet identified"),MATCH($B36&amp;$D36,'Smelter Look-up'!$J:$J,0),MATCH($B36&amp;$C36,'Smelter Look-up'!$J:$J,0)))</f>
        <v>534</v>
      </c>
      <c r="X36" s="210">
        <f t="shared" ca="1" si="3"/>
        <v>0</v>
      </c>
      <c r="AB36" s="211" t="str">
        <f t="shared" ca="1" si="4"/>
        <v>TinResind Industria e Comercio Ltda.</v>
      </c>
    </row>
    <row r="37" spans="1:28" s="210" customFormat="1" ht="25.2">
      <c r="A37" s="165" t="s">
        <v>2421</v>
      </c>
      <c r="B37" s="166" t="str">
        <f ca="1">IF(LEN(A37)=0,"",INDEX('Smelter Look-up'!$A:$A,MATCH($A37,'Smelter Look-up'!$E:$E,0)))</f>
        <v>Tin</v>
      </c>
      <c r="C37" s="170" t="str">
        <f ca="1">IF(LEN(A37)=0,"",INDEX('Smelter Look-up'!$C:$C,MATCH($A37,'Smelter Look-up'!$E:$E,0)))</f>
        <v>Super Ligas</v>
      </c>
      <c r="D37" s="213"/>
      <c r="E37" s="166" t="str">
        <f ca="1">IF(ISERROR($V37),"",OFFSET('Smelter Look-up'!$D$4,$V37-4,0)&amp;"")</f>
        <v>BRAZIL</v>
      </c>
      <c r="F37" s="166" t="str">
        <f ca="1">IF(ISERROR($V37),"",OFFSET('Smelter Look-up'!$E$4,$V37-4,0))</f>
        <v>CID002756</v>
      </c>
      <c r="G37" s="166" t="str">
        <f ca="1">IF(C37=$X$4,IF(ISERROR($V37),"Enter smelter details","RMI"),IF(ISERROR($V37),"",OFFSET('Smelter Look-up'!$F$4,$V37-4,0)))</f>
        <v>RMI</v>
      </c>
      <c r="H37" s="167">
        <f ca="1">IF(ISERROR($V37),"",OFFSET('Smelter Look-up'!$G$4,$V37-4,0))</f>
        <v>0</v>
      </c>
      <c r="I37" s="168" t="str">
        <f ca="1">IF(ISERROR($V37),"",OFFSET('Smelter Look-up'!$H$4,$V37-4,0))</f>
        <v>Piracicaba</v>
      </c>
      <c r="J37" s="168" t="str">
        <f ca="1">IF(ISERROR($V37),"",OFFSET('Smelter Look-up'!$I$4,$V37-4,0))</f>
        <v>São Paulo</v>
      </c>
      <c r="K37" s="207"/>
      <c r="L37" s="207"/>
      <c r="M37" s="207"/>
      <c r="N37" s="207"/>
      <c r="O37" s="207"/>
      <c r="P37" s="169"/>
      <c r="Q37" s="208"/>
      <c r="R37" s="166" t="str">
        <f ca="1">IF(ISERROR($V37),"",OFFSET('Smelter Look-up'!$C$4,$V37-4,0)&amp;"")</f>
        <v>Super Ligas</v>
      </c>
      <c r="S37" s="165" t="str">
        <f t="shared" ca="1" si="2"/>
        <v>BR</v>
      </c>
      <c r="T37" s="165" t="str">
        <f ca="1">IF(B37="","",IF(ISERROR(MATCH($J37,SorP!$B$1:$B$6261,0)),"",INDIRECT("'SorP'!$A$"&amp;MATCH($S37&amp;$J37,SorP!C:C,0))))</f>
        <v>BR-SP</v>
      </c>
      <c r="U37" s="185"/>
      <c r="V37" s="209">
        <f ca="1">IF(C37="",NA(),IF(OR(C37="Smelter not listed",C37="Smelter not yet identified"),MATCH($B37&amp;$D37,'Smelter Look-up'!$J:$J,0),MATCH($B37&amp;$C37,'Smelter Look-up'!$J:$J,0)))</f>
        <v>539</v>
      </c>
      <c r="X37" s="210">
        <f t="shared" ca="1" si="3"/>
        <v>0</v>
      </c>
      <c r="AB37" s="211" t="str">
        <f t="shared" ca="1" si="4"/>
        <v>TinSuper Ligas</v>
      </c>
    </row>
    <row r="38" spans="1:28" s="210" customFormat="1" ht="37.799999999999997">
      <c r="A38" s="165" t="s">
        <v>1728</v>
      </c>
      <c r="B38" s="166" t="str">
        <f ca="1">IF(LEN(A38)=0,"",INDEX('Smelter Look-up'!$A:$A,MATCH($A38,'Smelter Look-up'!$E:$E,0)))</f>
        <v>Tin</v>
      </c>
      <c r="C38" s="170" t="str">
        <f ca="1">IF(LEN(A38)=0,"",INDEX('Smelter Look-up'!$C:$C,MATCH($A38,'Smelter Look-up'!$E:$E,0)))</f>
        <v>Aurubis Beerse</v>
      </c>
      <c r="D38" s="213"/>
      <c r="E38" s="166" t="str">
        <f ca="1">IF(ISERROR($V38),"",OFFSET('Smelter Look-up'!$D$4,$V38-4,0)&amp;"")</f>
        <v>BELGIUM</v>
      </c>
      <c r="F38" s="166" t="str">
        <f ca="1">IF(ISERROR($V38),"",OFFSET('Smelter Look-up'!$E$4,$V38-4,0))</f>
        <v>CID002773</v>
      </c>
      <c r="G38" s="166" t="str">
        <f ca="1">IF(C38=$X$4,IF(ISERROR($V38),"Enter smelter details","RMI"),IF(ISERROR($V38),"",OFFSET('Smelter Look-up'!$F$4,$V38-4,0)))</f>
        <v>RMI</v>
      </c>
      <c r="H38" s="167">
        <f ca="1">IF(ISERROR($V38),"",OFFSET('Smelter Look-up'!$G$4,$V38-4,0))</f>
        <v>0</v>
      </c>
      <c r="I38" s="168" t="str">
        <f ca="1">IF(ISERROR($V38),"",OFFSET('Smelter Look-up'!$H$4,$V38-4,0))</f>
        <v>Beerse</v>
      </c>
      <c r="J38" s="168" t="str">
        <f ca="1">IF(ISERROR($V38),"",OFFSET('Smelter Look-up'!$I$4,$V38-4,0))</f>
        <v>Antwerpen</v>
      </c>
      <c r="K38" s="207"/>
      <c r="L38" s="207"/>
      <c r="M38" s="207"/>
      <c r="N38" s="207"/>
      <c r="O38" s="207"/>
      <c r="P38" s="169"/>
      <c r="Q38" s="208"/>
      <c r="R38" s="166" t="str">
        <f ca="1">IF(ISERROR($V38),"",OFFSET('Smelter Look-up'!$C$4,$V38-4,0)&amp;"")</f>
        <v>Aurubis Beerse</v>
      </c>
      <c r="S38" s="165" t="str">
        <f t="shared" ref="S38:S68" ca="1" si="5">IF(B38="","",IF(ISERROR(MATCH($E38,CL,0)),"Unknown",INDIRECT("'C'!$A$"&amp;MATCH($E38,CL,0)+1)))</f>
        <v>BE</v>
      </c>
      <c r="T38" s="165" t="str">
        <f ca="1">IF(B38="","",IF(ISERROR(MATCH($J38,SorP!$B$1:$B$6261,0)),"",INDIRECT("'SorP'!$A$"&amp;MATCH($S38&amp;$J38,SorP!C:C,0))))</f>
        <v>BE-VAN</v>
      </c>
      <c r="U38" s="185"/>
      <c r="V38" s="209">
        <f ca="1">IF(C38="",NA(),IF(OR(C38="Smelter not listed",C38="Smelter not yet identified"),MATCH($B38&amp;$D38,'Smelter Look-up'!$J:$J,0),MATCH($B38&amp;$C38,'Smelter Look-up'!$J:$J,0)))</f>
        <v>423</v>
      </c>
      <c r="X38" s="210">
        <f t="shared" ref="X38:X68" ca="1" si="6">IF(AND(C38="Smelter not listed",OR(LEN(D38)=0,LEN(E38)=0)),1,0)</f>
        <v>0</v>
      </c>
      <c r="AB38" s="211" t="str">
        <f t="shared" ref="AB38:AB68" ca="1" si="7">B38&amp;C38</f>
        <v>TinAurubis Beerse</v>
      </c>
    </row>
    <row r="39" spans="1:28" s="210" customFormat="1" ht="37.799999999999997">
      <c r="A39" s="165" t="s">
        <v>1730</v>
      </c>
      <c r="B39" s="166" t="str">
        <f ca="1">IF(LEN(A39)=0,"",INDEX('Smelter Look-up'!$A:$A,MATCH($A39,'Smelter Look-up'!$E:$E,0)))</f>
        <v>Tin</v>
      </c>
      <c r="C39" s="170" t="str">
        <f ca="1">IF(LEN(A39)=0,"",INDEX('Smelter Look-up'!$C:$C,MATCH($A39,'Smelter Look-up'!$E:$E,0)))</f>
        <v>Aurubis Berango</v>
      </c>
      <c r="D39" s="213"/>
      <c r="E39" s="166" t="str">
        <f ca="1">IF(ISERROR($V39),"",OFFSET('Smelter Look-up'!$D$4,$V39-4,0)&amp;"")</f>
        <v>SPAIN</v>
      </c>
      <c r="F39" s="166" t="str">
        <f ca="1">IF(ISERROR($V39),"",OFFSET('Smelter Look-up'!$E$4,$V39-4,0))</f>
        <v>CID002774</v>
      </c>
      <c r="G39" s="166" t="str">
        <f ca="1">IF(C39=$X$4,IF(ISERROR($V39),"Enter smelter details","RMI"),IF(ISERROR($V39),"",OFFSET('Smelter Look-up'!$F$4,$V39-4,0)))</f>
        <v>RMI</v>
      </c>
      <c r="H39" s="167">
        <f ca="1">IF(ISERROR($V39),"",OFFSET('Smelter Look-up'!$G$4,$V39-4,0))</f>
        <v>0</v>
      </c>
      <c r="I39" s="168" t="str">
        <f ca="1">IF(ISERROR($V39),"",OFFSET('Smelter Look-up'!$H$4,$V39-4,0))</f>
        <v>Berango</v>
      </c>
      <c r="J39" s="168" t="str">
        <f ca="1">IF(ISERROR($V39),"",OFFSET('Smelter Look-up'!$I$4,$V39-4,0))</f>
        <v>Bizkaia</v>
      </c>
      <c r="K39" s="207"/>
      <c r="L39" s="207"/>
      <c r="M39" s="207"/>
      <c r="N39" s="207"/>
      <c r="O39" s="207"/>
      <c r="P39" s="169"/>
      <c r="Q39" s="208"/>
      <c r="R39" s="166" t="str">
        <f ca="1">IF(ISERROR($V39),"",OFFSET('Smelter Look-up'!$C$4,$V39-4,0)&amp;"")</f>
        <v>Aurubis Berango</v>
      </c>
      <c r="S39" s="165" t="str">
        <f t="shared" ca="1" si="5"/>
        <v>ES</v>
      </c>
      <c r="T39" s="165" t="str">
        <f ca="1">IF(B39="","",IF(ISERROR(MATCH($J39,SorP!$B$1:$B$6261,0)),"",INDIRECT("'SorP'!$A$"&amp;MATCH($S39&amp;$J39,SorP!C:C,0))))</f>
        <v>ES-BI</v>
      </c>
      <c r="U39" s="185"/>
      <c r="V39" s="209">
        <f ca="1">IF(C39="",NA(),IF(OR(C39="Smelter not listed",C39="Smelter not yet identified"),MATCH($B39&amp;$D39,'Smelter Look-up'!$J:$J,0),MATCH($B39&amp;$C39,'Smelter Look-up'!$J:$J,0)))</f>
        <v>425</v>
      </c>
      <c r="X39" s="210">
        <f t="shared" ca="1" si="6"/>
        <v>0</v>
      </c>
      <c r="AB39" s="211" t="str">
        <f t="shared" ca="1" si="7"/>
        <v>TinAurubis Berango</v>
      </c>
    </row>
    <row r="40" spans="1:28" s="210" customFormat="1" ht="50.4">
      <c r="A40" s="165" t="s">
        <v>14907</v>
      </c>
      <c r="B40" s="166" t="str">
        <f ca="1">IF(LEN(A40)=0,"",INDEX('Smelter Look-up'!$A:$A,MATCH($A40,'Smelter Look-up'!$E:$E,0)))</f>
        <v>Tin</v>
      </c>
      <c r="C40" s="170" t="str">
        <f ca="1">IF(LEN(A40)=0,"",INDEX('Smelter Look-up'!$C:$C,MATCH($A40,'Smelter Look-up'!$E:$E,0)))</f>
        <v>PT Bangka Prima Tin</v>
      </c>
      <c r="D40" s="213"/>
      <c r="E40" s="166" t="str">
        <f ca="1">IF(ISERROR($V40),"",OFFSET('Smelter Look-up'!$D$4,$V40-4,0)&amp;"")</f>
        <v>INDONESIA</v>
      </c>
      <c r="F40" s="166" t="str">
        <f ca="1">IF(ISERROR($V40),"",OFFSET('Smelter Look-up'!$E$4,$V40-4,0))</f>
        <v>CID002776</v>
      </c>
      <c r="G40" s="166" t="str">
        <f ca="1">IF(C40=$X$4,IF(ISERROR($V40),"Enter smelter details","RMI"),IF(ISERROR($V40),"",OFFSET('Smelter Look-up'!$F$4,$V40-4,0)))</f>
        <v>RMI</v>
      </c>
      <c r="H40" s="167">
        <f ca="1">IF(ISERROR($V40),"",OFFSET('Smelter Look-up'!$G$4,$V40-4,0))</f>
        <v>0</v>
      </c>
      <c r="I40" s="168" t="str">
        <f ca="1">IF(ISERROR($V40),"",OFFSET('Smelter Look-up'!$H$4,$V40-4,0))</f>
        <v>Air Mesu</v>
      </c>
      <c r="J40" s="168" t="str">
        <f ca="1">IF(ISERROR($V40),"",OFFSET('Smelter Look-up'!$I$4,$V40-4,0))</f>
        <v>Kepulauan Bangka Belitung</v>
      </c>
      <c r="K40" s="207"/>
      <c r="L40" s="207"/>
      <c r="M40" s="207"/>
      <c r="N40" s="207"/>
      <c r="O40" s="207"/>
      <c r="P40" s="169"/>
      <c r="Q40" s="208"/>
      <c r="R40" s="166" t="str">
        <f ca="1">IF(ISERROR($V40),"",OFFSET('Smelter Look-up'!$C$4,$V40-4,0)&amp;"")</f>
        <v>PT Bangka Prima Tin</v>
      </c>
      <c r="S40" s="165" t="str">
        <f t="shared" ca="1" si="5"/>
        <v>ID</v>
      </c>
      <c r="T40" s="165" t="str">
        <f ca="1">IF(B40="","",IF(ISERROR(MATCH($J40,SorP!$B$1:$B$6261,0)),"",INDIRECT("'SorP'!$A$"&amp;MATCH($S40&amp;$J40,SorP!C:C,0))))</f>
        <v>ID-BB</v>
      </c>
      <c r="U40" s="185"/>
      <c r="V40" s="209">
        <f ca="1">IF(C40="",NA(),IF(OR(C40="Smelter not listed",C40="Smelter not yet identified"),MATCH($B40&amp;$D40,'Smelter Look-up'!$J:$J,0),MATCH($B40&amp;$C40,'Smelter Look-up'!$J:$J,0)))</f>
        <v>521</v>
      </c>
      <c r="X40" s="210">
        <f t="shared" ca="1" si="6"/>
        <v>0</v>
      </c>
      <c r="AB40" s="211" t="str">
        <f t="shared" ca="1" si="7"/>
        <v>TinPT Bangka Prima Tin</v>
      </c>
    </row>
    <row r="41" spans="1:28" s="210" customFormat="1" ht="88.2">
      <c r="A41" s="165" t="s">
        <v>2419</v>
      </c>
      <c r="B41" s="166" t="str">
        <f ca="1">IF(LEN(A41)=0,"",INDEX('Smelter Look-up'!$A:$A,MATCH($A41,'Smelter Look-up'!$E:$E,0)))</f>
        <v>Tin</v>
      </c>
      <c r="C41" s="170" t="str">
        <f ca="1">IF(LEN(A41)=0,"",INDEX('Smelter Look-up'!$C:$C,MATCH($A41,'Smelter Look-up'!$E:$E,0)))</f>
        <v>Guangdong Hanhe Non-Ferrous Metal Co., Ltd.</v>
      </c>
      <c r="D41" s="213"/>
      <c r="E41" s="166" t="str">
        <f ca="1">IF(ISERROR($V41),"",OFFSET('Smelter Look-up'!$D$4,$V41-4,0)&amp;"")</f>
        <v>CHINA</v>
      </c>
      <c r="F41" s="166" t="str">
        <f ca="1">IF(ISERROR($V41),"",OFFSET('Smelter Look-up'!$E$4,$V41-4,0))</f>
        <v>CID003116</v>
      </c>
      <c r="G41" s="166" t="str">
        <f ca="1">IF(C41=$X$4,IF(ISERROR($V41),"Enter smelter details","RMI"),IF(ISERROR($V41),"",OFFSET('Smelter Look-up'!$F$4,$V41-4,0)))</f>
        <v>RMI</v>
      </c>
      <c r="H41" s="167">
        <f ca="1">IF(ISERROR($V41),"",OFFSET('Smelter Look-up'!$G$4,$V41-4,0))</f>
        <v>0</v>
      </c>
      <c r="I41" s="168" t="str">
        <f ca="1">IF(ISERROR($V41),"",OFFSET('Smelter Look-up'!$H$4,$V41-4,0))</f>
        <v>Chaozhou</v>
      </c>
      <c r="J41" s="168" t="str">
        <f ca="1">IF(ISERROR($V41),"",OFFSET('Smelter Look-up'!$I$4,$V41-4,0))</f>
        <v>Guangdong Sheng</v>
      </c>
      <c r="K41" s="207"/>
      <c r="L41" s="207"/>
      <c r="M41" s="207"/>
      <c r="N41" s="207"/>
      <c r="O41" s="207"/>
      <c r="P41" s="169"/>
      <c r="Q41" s="208"/>
      <c r="R41" s="166" t="str">
        <f ca="1">IF(ISERROR($V41),"",OFFSET('Smelter Look-up'!$C$4,$V41-4,0)&amp;"")</f>
        <v>Guangdong Hanhe Non-Ferrous Metal Co., Ltd.</v>
      </c>
      <c r="S41" s="165" t="str">
        <f t="shared" ca="1" si="5"/>
        <v>CN</v>
      </c>
      <c r="T41" s="165" t="str">
        <f ca="1">IF(B41="","",IF(ISERROR(MATCH($J41,SorP!$B$1:$B$6261,0)),"",INDIRECT("'SorP'!$A$"&amp;MATCH($S41&amp;$J41,SorP!C:C,0))))</f>
        <v>CN-GD</v>
      </c>
      <c r="U41" s="185"/>
      <c r="V41" s="209">
        <f ca="1">IF(C41="",NA(),IF(OR(C41="Smelter not listed",C41="Smelter not yet identified"),MATCH($B41&amp;$D41,'Smelter Look-up'!$J:$J,0),MATCH($B41&amp;$C41,'Smelter Look-up'!$J:$J,0)))</f>
        <v>475</v>
      </c>
      <c r="X41" s="210">
        <f t="shared" ca="1" si="6"/>
        <v>0</v>
      </c>
      <c r="AB41" s="211" t="str">
        <f t="shared" ca="1" si="7"/>
        <v>TinGuangdong Hanhe Non-Ferrous Metal Co., Ltd.</v>
      </c>
    </row>
    <row r="42" spans="1:28" s="210" customFormat="1" ht="75.599999999999994">
      <c r="A42" s="165" t="s">
        <v>12470</v>
      </c>
      <c r="B42" s="166" t="str">
        <f ca="1">IF(LEN(A42)=0,"",INDEX('Smelter Look-up'!$A:$A,MATCH($A42,'Smelter Look-up'!$E:$E,0)))</f>
        <v>Tin</v>
      </c>
      <c r="C42" s="170" t="str">
        <f ca="1">IF(LEN(A42)=0,"",INDEX('Smelter Look-up'!$C:$C,MATCH($A42,'Smelter Look-up'!$E:$E,0)))</f>
        <v>Chifeng Dajingzi Tin Industry Co., Ltd.</v>
      </c>
      <c r="D42" s="213"/>
      <c r="E42" s="166" t="str">
        <f ca="1">IF(ISERROR($V42),"",OFFSET('Smelter Look-up'!$D$4,$V42-4,0)&amp;"")</f>
        <v>CHINA</v>
      </c>
      <c r="F42" s="166" t="str">
        <f ca="1">IF(ISERROR($V42),"",OFFSET('Smelter Look-up'!$E$4,$V42-4,0))</f>
        <v>CID003190</v>
      </c>
      <c r="G42" s="166" t="str">
        <f ca="1">IF(C42=$X$4,IF(ISERROR($V42),"Enter smelter details","RMI"),IF(ISERROR($V42),"",OFFSET('Smelter Look-up'!$F$4,$V42-4,0)))</f>
        <v>RMI</v>
      </c>
      <c r="H42" s="167">
        <f ca="1">IF(ISERROR($V42),"",OFFSET('Smelter Look-up'!$G$4,$V42-4,0))</f>
        <v>0</v>
      </c>
      <c r="I42" s="168" t="str">
        <f ca="1">IF(ISERROR($V42),"",OFFSET('Smelter Look-up'!$H$4,$V42-4,0))</f>
        <v>Chifeng</v>
      </c>
      <c r="J42" s="168" t="str">
        <f ca="1">IF(ISERROR($V42),"",OFFSET('Smelter Look-up'!$I$4,$V42-4,0))</f>
        <v>Nei Mongol Zizhiqu</v>
      </c>
      <c r="K42" s="207"/>
      <c r="L42" s="207"/>
      <c r="M42" s="207"/>
      <c r="N42" s="207"/>
      <c r="O42" s="207"/>
      <c r="P42" s="169"/>
      <c r="Q42" s="208"/>
      <c r="R42" s="166" t="str">
        <f ca="1">IF(ISERROR($V42),"",OFFSET('Smelter Look-up'!$C$4,$V42-4,0)&amp;"")</f>
        <v>Chifeng Dajingzi Tin Industry Co., Ltd.</v>
      </c>
      <c r="S42" s="165" t="str">
        <f t="shared" ca="1" si="5"/>
        <v>CN</v>
      </c>
      <c r="T42" s="165" t="str">
        <f ca="1">IF(B42="","",IF(ISERROR(MATCH($J42,SorP!$B$1:$B$6261,0)),"",INDIRECT("'SorP'!$A$"&amp;MATCH($S42&amp;$J42,SorP!C:C,0))))</f>
        <v>CN-NM</v>
      </c>
      <c r="U42" s="185"/>
      <c r="V42" s="209">
        <f ca="1">IF(C42="",NA(),IF(OR(C42="Smelter not listed",C42="Smelter not yet identified"),MATCH($B42&amp;$D42,'Smelter Look-up'!$J:$J,0),MATCH($B42&amp;$C42,'Smelter Look-up'!$J:$J,0)))</f>
        <v>429</v>
      </c>
      <c r="X42" s="210">
        <f t="shared" ca="1" si="6"/>
        <v>0</v>
      </c>
      <c r="AB42" s="211" t="str">
        <f t="shared" ca="1" si="7"/>
        <v>TinChifeng Dajingzi Tin Industry Co., Ltd.</v>
      </c>
    </row>
    <row r="43" spans="1:28" s="210" customFormat="1" ht="50.4">
      <c r="A43" s="165" t="s">
        <v>12709</v>
      </c>
      <c r="B43" s="166" t="str">
        <f ca="1">IF(LEN(A43)=0,"",INDEX('Smelter Look-up'!$A:$A,MATCH($A43,'Smelter Look-up'!$E:$E,0)))</f>
        <v>Tin</v>
      </c>
      <c r="C43" s="170" t="str">
        <f ca="1">IF(LEN(A43)=0,"",INDEX('Smelter Look-up'!$C:$C,MATCH($A43,'Smelter Look-up'!$E:$E,0)))</f>
        <v>Tin Technology &amp; Refining</v>
      </c>
      <c r="D43" s="213"/>
      <c r="E43" s="166" t="str">
        <f ca="1">IF(ISERROR($V43),"",OFFSET('Smelter Look-up'!$D$4,$V43-4,0)&amp;"")</f>
        <v>UNITED STATES OF AMERICA</v>
      </c>
      <c r="F43" s="166" t="str">
        <f ca="1">IF(ISERROR($V43),"",OFFSET('Smelter Look-up'!$E$4,$V43-4,0))</f>
        <v>CID003325</v>
      </c>
      <c r="G43" s="166" t="str">
        <f ca="1">IF(C43=$X$4,IF(ISERROR($V43),"Enter smelter details","RMI"),IF(ISERROR($V43),"",OFFSET('Smelter Look-up'!$F$4,$V43-4,0)))</f>
        <v>RMI</v>
      </c>
      <c r="H43" s="167">
        <f ca="1">IF(ISERROR($V43),"",OFFSET('Smelter Look-up'!$G$4,$V43-4,0))</f>
        <v>0</v>
      </c>
      <c r="I43" s="168" t="str">
        <f ca="1">IF(ISERROR($V43),"",OFFSET('Smelter Look-up'!$H$4,$V43-4,0))</f>
        <v>West Chester</v>
      </c>
      <c r="J43" s="168" t="str">
        <f ca="1">IF(ISERROR($V43),"",OFFSET('Smelter Look-up'!$I$4,$V43-4,0))</f>
        <v>Pennsylvania</v>
      </c>
      <c r="K43" s="207"/>
      <c r="L43" s="207"/>
      <c r="M43" s="207"/>
      <c r="N43" s="207"/>
      <c r="O43" s="207"/>
      <c r="P43" s="169"/>
      <c r="Q43" s="208"/>
      <c r="R43" s="166" t="str">
        <f ca="1">IF(ISERROR($V43),"",OFFSET('Smelter Look-up'!$C$4,$V43-4,0)&amp;"")</f>
        <v>Tin Technology &amp; Refining</v>
      </c>
      <c r="S43" s="165" t="str">
        <f t="shared" ca="1" si="5"/>
        <v>US</v>
      </c>
      <c r="T43" s="165" t="str">
        <f ca="1">IF(B43="","",IF(ISERROR(MATCH($J43,SorP!$B$1:$B$6261,0)),"",INDIRECT("'SorP'!$A$"&amp;MATCH($S43&amp;$J43,SorP!C:C,0))))</f>
        <v>US-PA</v>
      </c>
      <c r="U43" s="185"/>
      <c r="V43" s="209">
        <f ca="1">IF(C43="",NA(),IF(OR(C43="Smelter not listed",C43="Smelter not yet identified"),MATCH($B43&amp;$D43,'Smelter Look-up'!$J:$J,0),MATCH($B43&amp;$C43,'Smelter Look-up'!$J:$J,0)))</f>
        <v>547</v>
      </c>
      <c r="X43" s="210">
        <f t="shared" ca="1" si="6"/>
        <v>0</v>
      </c>
      <c r="AB43" s="211" t="str">
        <f t="shared" ca="1" si="7"/>
        <v>TinTin Technology &amp; Refining</v>
      </c>
    </row>
    <row r="44" spans="1:28" s="210" customFormat="1" ht="37.799999999999997">
      <c r="A44" s="165" t="s">
        <v>13348</v>
      </c>
      <c r="B44" s="166" t="str">
        <f ca="1">IF(LEN(A44)=0,"",INDEX('Smelter Look-up'!$A:$A,MATCH($A44,'Smelter Look-up'!$E:$E,0)))</f>
        <v>Tin</v>
      </c>
      <c r="C44" s="170" t="str">
        <f ca="1">IF(LEN(A44)=0,"",INDEX('Smelter Look-up'!$C:$C,MATCH($A44,'Smelter Look-up'!$E:$E,0)))</f>
        <v>Luna Smelter, Ltd.</v>
      </c>
      <c r="D44" s="213"/>
      <c r="E44" s="166" t="str">
        <f ca="1">IF(ISERROR($V44),"",OFFSET('Smelter Look-up'!$D$4,$V44-4,0)&amp;"")</f>
        <v>RWANDA</v>
      </c>
      <c r="F44" s="166" t="str">
        <f ca="1">IF(ISERROR($V44),"",OFFSET('Smelter Look-up'!$E$4,$V44-4,0))</f>
        <v>CID003387</v>
      </c>
      <c r="G44" s="166" t="str">
        <f ca="1">IF(C44=$X$4,IF(ISERROR($V44),"Enter smelter details","RMI"),IF(ISERROR($V44),"",OFFSET('Smelter Look-up'!$F$4,$V44-4,0)))</f>
        <v>RMI</v>
      </c>
      <c r="H44" s="167">
        <f ca="1">IF(ISERROR($V44),"",OFFSET('Smelter Look-up'!$G$4,$V44-4,0))</f>
        <v>0</v>
      </c>
      <c r="I44" s="168" t="str">
        <f ca="1">IF(ISERROR($V44),"",OFFSET('Smelter Look-up'!$H$4,$V44-4,0))</f>
        <v>Kigali</v>
      </c>
      <c r="J44" s="168" t="str">
        <f ca="1">IF(ISERROR($V44),"",OFFSET('Smelter Look-up'!$I$4,$V44-4,0))</f>
        <v>City of Kigali</v>
      </c>
      <c r="K44" s="207"/>
      <c r="L44" s="207"/>
      <c r="M44" s="207"/>
      <c r="N44" s="207"/>
      <c r="O44" s="207"/>
      <c r="P44" s="169"/>
      <c r="Q44" s="208"/>
      <c r="R44" s="166" t="str">
        <f ca="1">IF(ISERROR($V44),"",OFFSET('Smelter Look-up'!$C$4,$V44-4,0)&amp;"")</f>
        <v>Luna Smelter, Ltd.</v>
      </c>
      <c r="S44" s="165" t="str">
        <f t="shared" ca="1" si="5"/>
        <v>RW</v>
      </c>
      <c r="T44" s="165" t="str">
        <f ca="1">IF(B44="","",IF(ISERROR(MATCH($J44,SorP!$B$1:$B$6261,0)),"",INDIRECT("'SorP'!$A$"&amp;MATCH($S44&amp;$J44,SorP!C:C,0))))</f>
        <v>RW-01</v>
      </c>
      <c r="U44" s="185"/>
      <c r="V44" s="209">
        <f ca="1">IF(C44="",NA(),IF(OR(C44="Smelter not listed",C44="Smelter not yet identified"),MATCH($B44&amp;$D44,'Smelter Look-up'!$J:$J,0),MATCH($B44&amp;$C44,'Smelter Look-up'!$J:$J,0)))</f>
        <v>488</v>
      </c>
      <c r="X44" s="210">
        <f t="shared" ca="1" si="6"/>
        <v>0</v>
      </c>
      <c r="AB44" s="211" t="str">
        <f t="shared" ca="1" si="7"/>
        <v>TinLuna Smelter, Ltd.</v>
      </c>
    </row>
    <row r="45" spans="1:28" s="210" customFormat="1" ht="88.2">
      <c r="A45" s="165" t="s">
        <v>13295</v>
      </c>
      <c r="B45" s="166" t="str">
        <f ca="1">IF(LEN(A45)=0,"",INDEX('Smelter Look-up'!$A:$A,MATCH($A45,'Smelter Look-up'!$E:$E,0)))</f>
        <v>Tin</v>
      </c>
      <c r="C45" s="170" t="str">
        <f ca="1">IF(LEN(A45)=0,"",INDEX('Smelter Look-up'!$C:$C,MATCH($A45,'Smelter Look-up'!$E:$E,0)))</f>
        <v>Yunnan Yunfan Non-ferrous Metals Co., Ltd.</v>
      </c>
      <c r="D45" s="213"/>
      <c r="E45" s="166" t="str">
        <f ca="1">IF(ISERROR($V45),"",OFFSET('Smelter Look-up'!$D$4,$V45-4,0)&amp;"")</f>
        <v>CHINA</v>
      </c>
      <c r="F45" s="166" t="str">
        <f ca="1">IF(ISERROR($V45),"",OFFSET('Smelter Look-up'!$E$4,$V45-4,0))</f>
        <v>CID003397</v>
      </c>
      <c r="G45" s="166" t="str">
        <f ca="1">IF(C45=$X$4,IF(ISERROR($V45),"Enter smelter details","RMI"),IF(ISERROR($V45),"",OFFSET('Smelter Look-up'!$F$4,$V45-4,0)))</f>
        <v>RMI</v>
      </c>
      <c r="H45" s="167">
        <f ca="1">IF(ISERROR($V45),"",OFFSET('Smelter Look-up'!$G$4,$V45-4,0))</f>
        <v>0</v>
      </c>
      <c r="I45" s="168" t="str">
        <f ca="1">IF(ISERROR($V45),"",OFFSET('Smelter Look-up'!$H$4,$V45-4,0))</f>
        <v>Gejiu</v>
      </c>
      <c r="J45" s="168" t="str">
        <f ca="1">IF(ISERROR($V45),"",OFFSET('Smelter Look-up'!$I$4,$V45-4,0))</f>
        <v>Yunnan Sheng</v>
      </c>
      <c r="K45" s="207"/>
      <c r="L45" s="207"/>
      <c r="M45" s="207"/>
      <c r="N45" s="207"/>
      <c r="O45" s="207"/>
      <c r="P45" s="169"/>
      <c r="Q45" s="208"/>
      <c r="R45" s="166" t="str">
        <f ca="1">IF(ISERROR($V45),"",OFFSET('Smelter Look-up'!$C$4,$V45-4,0)&amp;"")</f>
        <v>Yunnan Yunfan Non-ferrous Metals Co., Ltd.</v>
      </c>
      <c r="S45" s="165" t="str">
        <f t="shared" ca="1" si="5"/>
        <v>CN</v>
      </c>
      <c r="T45" s="165" t="str">
        <f ca="1">IF(B45="","",IF(ISERROR(MATCH($J45,SorP!$B$1:$B$6261,0)),"",INDIRECT("'SorP'!$A$"&amp;MATCH($S45&amp;$J45,SorP!C:C,0))))</f>
        <v>CN-YN</v>
      </c>
      <c r="U45" s="185"/>
      <c r="V45" s="209">
        <f ca="1">IF(C45="",NA(),IF(OR(C45="Smelter not listed",C45="Smelter not yet identified"),MATCH($B45&amp;$D45,'Smelter Look-up'!$J:$J,0),MATCH($B45&amp;$C45,'Smelter Look-up'!$J:$J,0)))</f>
        <v>568</v>
      </c>
      <c r="X45" s="210">
        <f t="shared" ca="1" si="6"/>
        <v>0</v>
      </c>
      <c r="AB45" s="211" t="str">
        <f t="shared" ca="1" si="7"/>
        <v>TinYunnan Yunfan Non-ferrous Metals Co., Ltd.</v>
      </c>
    </row>
    <row r="46" spans="1:28" s="210" customFormat="1" ht="63">
      <c r="A46" s="165" t="s">
        <v>13349</v>
      </c>
      <c r="B46" s="166" t="str">
        <f ca="1">IF(LEN(A46)=0,"",INDEX('Smelter Look-up'!$A:$A,MATCH($A46,'Smelter Look-up'!$E:$E,0)))</f>
        <v>Tin</v>
      </c>
      <c r="C46" s="170" t="str">
        <f ca="1">IF(LEN(A46)=0,"",INDEX('Smelter Look-up'!$C:$C,MATCH($A46,'Smelter Look-up'!$E:$E,0)))</f>
        <v>PT Mitra Sukses Globalindo</v>
      </c>
      <c r="D46" s="213"/>
      <c r="E46" s="166" t="str">
        <f ca="1">IF(ISERROR($V46),"",OFFSET('Smelter Look-up'!$D$4,$V46-4,0)&amp;"")</f>
        <v>INDONESIA</v>
      </c>
      <c r="F46" s="166" t="str">
        <f ca="1">IF(ISERROR($V46),"",OFFSET('Smelter Look-up'!$E$4,$V46-4,0))</f>
        <v>CID003449</v>
      </c>
      <c r="G46" s="166" t="str">
        <f ca="1">IF(C46=$X$4,IF(ISERROR($V46),"Enter smelter details","RMI"),IF(ISERROR($V46),"",OFFSET('Smelter Look-up'!$F$4,$V46-4,0)))</f>
        <v>RMI</v>
      </c>
      <c r="H46" s="167">
        <f ca="1">IF(ISERROR($V46),"",OFFSET('Smelter Look-up'!$G$4,$V46-4,0))</f>
        <v>0</v>
      </c>
      <c r="I46" s="168" t="str">
        <f ca="1">IF(ISERROR($V46),"",OFFSET('Smelter Look-up'!$H$4,$V46-4,0))</f>
        <v>Pangkalpinang</v>
      </c>
      <c r="J46" s="168" t="str">
        <f ca="1">IF(ISERROR($V46),"",OFFSET('Smelter Look-up'!$I$4,$V46-4,0))</f>
        <v>Kepulauan Bangka Belitung</v>
      </c>
      <c r="K46" s="207"/>
      <c r="L46" s="207"/>
      <c r="M46" s="207"/>
      <c r="N46" s="207"/>
      <c r="O46" s="207"/>
      <c r="P46" s="169"/>
      <c r="Q46" s="208"/>
      <c r="R46" s="166" t="str">
        <f ca="1">IF(ISERROR($V46),"",OFFSET('Smelter Look-up'!$C$4,$V46-4,0)&amp;"")</f>
        <v>PT Mitra Sukses Globalindo</v>
      </c>
      <c r="S46" s="165" t="str">
        <f t="shared" ca="1" si="5"/>
        <v>ID</v>
      </c>
      <c r="T46" s="165" t="str">
        <f ca="1">IF(B46="","",IF(ISERROR(MATCH($J46,SorP!$B$1:$B$6261,0)),"",INDIRECT("'SorP'!$A$"&amp;MATCH($S46&amp;$J46,SorP!C:C,0))))</f>
        <v>ID-BB</v>
      </c>
      <c r="U46" s="185"/>
      <c r="V46" s="209">
        <f ca="1">IF(C46="",NA(),IF(OR(C46="Smelter not listed",C46="Smelter not yet identified"),MATCH($B46&amp;$D46,'Smelter Look-up'!$J:$J,0),MATCH($B46&amp;$C46,'Smelter Look-up'!$J:$J,0)))</f>
        <v>525</v>
      </c>
      <c r="X46" s="210">
        <f t="shared" ca="1" si="6"/>
        <v>0</v>
      </c>
      <c r="AB46" s="211" t="str">
        <f t="shared" ca="1" si="7"/>
        <v>TinPT Mitra Sukses Globalindo</v>
      </c>
    </row>
    <row r="47" spans="1:28" s="210" customFormat="1" ht="151.19999999999999">
      <c r="A47" s="165" t="s">
        <v>14526</v>
      </c>
      <c r="B47" s="166" t="str">
        <f ca="1">IF(LEN(A47)=0,"",INDEX('Smelter Look-up'!$A:$A,MATCH($A47,'Smelter Look-up'!$E:$E,0)))</f>
        <v>Tin</v>
      </c>
      <c r="C47" s="170" t="str">
        <f ca="1">IF(LEN(A47)=0,"",INDEX('Smelter Look-up'!$C:$C,MATCH($A47,'Smelter Look-up'!$E:$E,0)))</f>
        <v>CRM Fundicao De Metais E Comercio De Equipamentos Eletronicos Do Brasil Ltda</v>
      </c>
      <c r="D47" s="213"/>
      <c r="E47" s="166" t="str">
        <f ca="1">IF(ISERROR($V47),"",OFFSET('Smelter Look-up'!$D$4,$V47-4,0)&amp;"")</f>
        <v>BRAZIL</v>
      </c>
      <c r="F47" s="166" t="str">
        <f ca="1">IF(ISERROR($V47),"",OFFSET('Smelter Look-up'!$E$4,$V47-4,0))</f>
        <v>CID003486</v>
      </c>
      <c r="G47" s="166" t="str">
        <f ca="1">IF(C47=$X$4,IF(ISERROR($V47),"Enter smelter details","RMI"),IF(ISERROR($V47),"",OFFSET('Smelter Look-up'!$F$4,$V47-4,0)))</f>
        <v>RMI</v>
      </c>
      <c r="H47" s="167">
        <f ca="1">IF(ISERROR($V47),"",OFFSET('Smelter Look-up'!$G$4,$V47-4,0))</f>
        <v>0</v>
      </c>
      <c r="I47" s="168" t="str">
        <f ca="1">IF(ISERROR($V47),"",OFFSET('Smelter Look-up'!$H$4,$V47-4,0))</f>
        <v>São José</v>
      </c>
      <c r="J47" s="168" t="str">
        <f ca="1">IF(ISERROR($V47),"",OFFSET('Smelter Look-up'!$I$4,$V47-4,0))</f>
        <v>Santa Catarina</v>
      </c>
      <c r="K47" s="207"/>
      <c r="L47" s="207"/>
      <c r="M47" s="207"/>
      <c r="N47" s="207"/>
      <c r="O47" s="207"/>
      <c r="P47" s="169"/>
      <c r="Q47" s="208"/>
      <c r="R47" s="166" t="str">
        <f ca="1">IF(ISERROR($V47),"",OFFSET('Smelter Look-up'!$C$4,$V47-4,0)&amp;"")</f>
        <v>CRM Fundicao De Metais E Comercio De Equipamentos Eletronicos Do Brasil Ltda</v>
      </c>
      <c r="S47" s="165" t="str">
        <f t="shared" ca="1" si="5"/>
        <v>BR</v>
      </c>
      <c r="T47" s="165" t="str">
        <f ca="1">IF(B47="","",IF(ISERROR(MATCH($J47,SorP!$B$1:$B$6261,0)),"",INDIRECT("'SorP'!$A$"&amp;MATCH($S47&amp;$J47,SorP!C:C,0))))</f>
        <v>BR-SC</v>
      </c>
      <c r="U47" s="185"/>
      <c r="V47" s="209">
        <f ca="1">IF(C47="",NA(),IF(OR(C47="Smelter not listed",C47="Smelter not yet identified"),MATCH($B47&amp;$D47,'Smelter Look-up'!$J:$J,0),MATCH($B47&amp;$C47,'Smelter Look-up'!$J:$J,0)))</f>
        <v>439</v>
      </c>
      <c r="X47" s="210">
        <f t="shared" ca="1" si="6"/>
        <v>0</v>
      </c>
      <c r="AB47" s="211" t="str">
        <f t="shared" ca="1" si="7"/>
        <v>TinCRM Fundicao De Metais E Comercio De Equipamentos Eletronicos Do Brasil Ltda</v>
      </c>
    </row>
    <row r="48" spans="1:28" s="210" customFormat="1" ht="50.4">
      <c r="A48" s="165" t="s">
        <v>14529</v>
      </c>
      <c r="B48" s="166" t="str">
        <f ca="1">IF(LEN(A48)=0,"",INDEX('Smelter Look-up'!$A:$A,MATCH($A48,'Smelter Look-up'!$E:$E,0)))</f>
        <v>Tin</v>
      </c>
      <c r="C48" s="170" t="str">
        <f ca="1">IF(LEN(A48)=0,"",INDEX('Smelter Look-up'!$C:$C,MATCH($A48,'Smelter Look-up'!$E:$E,0)))</f>
        <v>CRM Synergies EMEA, S.L.U.</v>
      </c>
      <c r="D48" s="213"/>
      <c r="E48" s="166" t="str">
        <f ca="1">IF(ISERROR($V48),"",OFFSET('Smelter Look-up'!$D$4,$V48-4,0)&amp;"")</f>
        <v>SPAIN</v>
      </c>
      <c r="F48" s="166" t="str">
        <f ca="1">IF(ISERROR($V48),"",OFFSET('Smelter Look-up'!$E$4,$V48-4,0))</f>
        <v>CID003524</v>
      </c>
      <c r="G48" s="166" t="str">
        <f ca="1">IF(C48=$X$4,IF(ISERROR($V48),"Enter smelter details","RMI"),IF(ISERROR($V48),"",OFFSET('Smelter Look-up'!$F$4,$V48-4,0)))</f>
        <v>RMI</v>
      </c>
      <c r="H48" s="167">
        <f ca="1">IF(ISERROR($V48),"",OFFSET('Smelter Look-up'!$G$4,$V48-4,0))</f>
        <v>0</v>
      </c>
      <c r="I48" s="168" t="str">
        <f ca="1">IF(ISERROR($V48),"",OFFSET('Smelter Look-up'!$H$4,$V48-4,0))</f>
        <v>Las Ventas de Retamosa</v>
      </c>
      <c r="J48" s="168" t="str">
        <f ca="1">IF(ISERROR($V48),"",OFFSET('Smelter Look-up'!$I$4,$V48-4,0))</f>
        <v>Toledo</v>
      </c>
      <c r="K48" s="207"/>
      <c r="L48" s="207"/>
      <c r="M48" s="207"/>
      <c r="N48" s="207"/>
      <c r="O48" s="207"/>
      <c r="P48" s="169"/>
      <c r="Q48" s="208"/>
      <c r="R48" s="166" t="str">
        <f ca="1">IF(ISERROR($V48),"",OFFSET('Smelter Look-up'!$C$4,$V48-4,0)&amp;"")</f>
        <v>CRM Synergies EMEA, S.L.U.</v>
      </c>
      <c r="S48" s="165" t="str">
        <f t="shared" ca="1" si="5"/>
        <v>ES</v>
      </c>
      <c r="T48" s="165" t="str">
        <f ca="1">IF(B48="","",IF(ISERROR(MATCH($J48,SorP!$B$1:$B$6261,0)),"",INDIRECT("'SorP'!$A$"&amp;MATCH($S48&amp;$J48,SorP!C:C,0))))</f>
        <v>ES-TO</v>
      </c>
      <c r="U48" s="185"/>
      <c r="V48" s="209">
        <f ca="1">IF(C48="",NA(),IF(OR(C48="Smelter not listed",C48="Smelter not yet identified"),MATCH($B48&amp;$D48,'Smelter Look-up'!$J:$J,0),MATCH($B48&amp;$C48,'Smelter Look-up'!$J:$J,0)))</f>
        <v>442</v>
      </c>
      <c r="X48" s="210">
        <f t="shared" ca="1" si="6"/>
        <v>0</v>
      </c>
      <c r="AB48" s="211" t="str">
        <f t="shared" ca="1" si="7"/>
        <v>TinCRM Synergies EMEA, S.L.U.</v>
      </c>
    </row>
    <row r="49" spans="1:28" s="210" customFormat="1" ht="100.8">
      <c r="A49" s="165" t="s">
        <v>14532</v>
      </c>
      <c r="B49" s="166" t="str">
        <f ca="1">IF(LEN(A49)=0,"",INDEX('Smelter Look-up'!$A:$A,MATCH($A49,'Smelter Look-up'!$E:$E,0)))</f>
        <v>Tin</v>
      </c>
      <c r="C49" s="170" t="str">
        <f ca="1">IF(LEN(A49)=0,"",INDEX('Smelter Look-up'!$C:$C,MATCH($A49,'Smelter Look-up'!$E:$E,0)))</f>
        <v>Fabrica Auricchio Industria e Comercio Ltda.</v>
      </c>
      <c r="D49" s="213"/>
      <c r="E49" s="166" t="str">
        <f ca="1">IF(ISERROR($V49),"",OFFSET('Smelter Look-up'!$D$4,$V49-4,0)&amp;"")</f>
        <v>BRAZIL</v>
      </c>
      <c r="F49" s="166" t="str">
        <f ca="1">IF(ISERROR($V49),"",OFFSET('Smelter Look-up'!$E$4,$V49-4,0))</f>
        <v>CID003582</v>
      </c>
      <c r="G49" s="166" t="str">
        <f ca="1">IF(C49=$X$4,IF(ISERROR($V49),"Enter smelter details","RMI"),IF(ISERROR($V49),"",OFFSET('Smelter Look-up'!$F$4,$V49-4,0)))</f>
        <v>RMI</v>
      </c>
      <c r="H49" s="167">
        <f ca="1">IF(ISERROR($V49),"",OFFSET('Smelter Look-up'!$G$4,$V49-4,0))</f>
        <v>0</v>
      </c>
      <c r="I49" s="168" t="str">
        <f ca="1">IF(ISERROR($V49),"",OFFSET('Smelter Look-up'!$H$4,$V49-4,0))</f>
        <v>Mogi das Cruzes</v>
      </c>
      <c r="J49" s="168" t="str">
        <f ca="1">IF(ISERROR($V49),"",OFFSET('Smelter Look-up'!$I$4,$V49-4,0))</f>
        <v>São Paulo</v>
      </c>
      <c r="K49" s="207"/>
      <c r="L49" s="207"/>
      <c r="M49" s="207"/>
      <c r="N49" s="207"/>
      <c r="O49" s="207"/>
      <c r="P49" s="169"/>
      <c r="Q49" s="208"/>
      <c r="R49" s="166" t="str">
        <f ca="1">IF(ISERROR($V49),"",OFFSET('Smelter Look-up'!$C$4,$V49-4,0)&amp;"")</f>
        <v>Fabrica Auricchio Industria e Comercio Ltda.</v>
      </c>
      <c r="S49" s="165" t="str">
        <f t="shared" ca="1" si="5"/>
        <v>BR</v>
      </c>
      <c r="T49" s="165" t="str">
        <f ca="1">IF(B49="","",IF(ISERROR(MATCH($J49,SorP!$B$1:$B$6261,0)),"",INDIRECT("'SorP'!$A$"&amp;MATCH($S49&amp;$J49,SorP!C:C,0))))</f>
        <v>BR-SP</v>
      </c>
      <c r="U49" s="185"/>
      <c r="V49" s="209">
        <f ca="1">IF(C49="",NA(),IF(OR(C49="Smelter not listed",C49="Smelter not yet identified"),MATCH($B49&amp;$D49,'Smelter Look-up'!$J:$J,0),MATCH($B49&amp;$C49,'Smelter Look-up'!$J:$J,0)))</f>
        <v>461</v>
      </c>
      <c r="X49" s="210">
        <f t="shared" ca="1" si="6"/>
        <v>0</v>
      </c>
      <c r="AB49" s="211" t="str">
        <f t="shared" ca="1" si="7"/>
        <v>TinFabrica Auricchio Industria e Comercio Ltda.</v>
      </c>
    </row>
    <row r="50" spans="1:28" s="210" customFormat="1" ht="63">
      <c r="A50" s="165" t="s">
        <v>14873</v>
      </c>
      <c r="B50" s="166" t="str">
        <f ca="1">IF(LEN(A50)=0,"",INDEX('Smelter Look-up'!$A:$A,MATCH($A50,'Smelter Look-up'!$E:$E,0)))</f>
        <v>Tin</v>
      </c>
      <c r="C50" s="170" t="str">
        <f ca="1">IF(LEN(A50)=0,"",INDEX('Smelter Look-up'!$C:$C,MATCH($A50,'Smelter Look-up'!$E:$E,0)))</f>
        <v>PT Putera Sarana Shakti (PT PSS)</v>
      </c>
      <c r="D50" s="213"/>
      <c r="E50" s="166" t="str">
        <f ca="1">IF(ISERROR($V50),"",OFFSET('Smelter Look-up'!$D$4,$V50-4,0)&amp;"")</f>
        <v>INDONESIA</v>
      </c>
      <c r="F50" s="166" t="str">
        <f ca="1">IF(ISERROR($V50),"",OFFSET('Smelter Look-up'!$E$4,$V50-4,0))</f>
        <v>CID003868</v>
      </c>
      <c r="G50" s="166" t="str">
        <f ca="1">IF(C50=$X$4,IF(ISERROR($V50),"Enter smelter details","RMI"),IF(ISERROR($V50),"",OFFSET('Smelter Look-up'!$F$4,$V50-4,0)))</f>
        <v>RMI</v>
      </c>
      <c r="H50" s="167">
        <f ca="1">IF(ISERROR($V50),"",OFFSET('Smelter Look-up'!$G$4,$V50-4,0))</f>
        <v>0</v>
      </c>
      <c r="I50" s="168" t="str">
        <f ca="1">IF(ISERROR($V50),"",OFFSET('Smelter Look-up'!$H$4,$V50-4,0))</f>
        <v>Sungailiat</v>
      </c>
      <c r="J50" s="168" t="str">
        <f ca="1">IF(ISERROR($V50),"",OFFSET('Smelter Look-up'!$I$4,$V50-4,0))</f>
        <v>Kepulauan Bangka Belitung</v>
      </c>
      <c r="K50" s="207"/>
      <c r="L50" s="207"/>
      <c r="M50" s="207"/>
      <c r="N50" s="207"/>
      <c r="O50" s="207"/>
      <c r="P50" s="169"/>
      <c r="Q50" s="208"/>
      <c r="R50" s="166" t="str">
        <f ca="1">IF(ISERROR($V50),"",OFFSET('Smelter Look-up'!$C$4,$V50-4,0)&amp;"")</f>
        <v>PT Putera Sarana Shakti (PT PSS)</v>
      </c>
      <c r="S50" s="165" t="str">
        <f t="shared" ca="1" si="5"/>
        <v>ID</v>
      </c>
      <c r="T50" s="165" t="str">
        <f ca="1">IF(B50="","",IF(ISERROR(MATCH($J50,SorP!$B$1:$B$6261,0)),"",INDIRECT("'SorP'!$A$"&amp;MATCH($S50&amp;$J50,SorP!C:C,0))))</f>
        <v>ID-BB</v>
      </c>
      <c r="U50" s="185"/>
      <c r="V50" s="209">
        <f ca="1">IF(C50="",NA(),IF(OR(C50="Smelter not listed",C50="Smelter not yet identified"),MATCH($B50&amp;$D50,'Smelter Look-up'!$J:$J,0),MATCH($B50&amp;$C50,'Smelter Look-up'!$J:$J,0)))</f>
        <v>528</v>
      </c>
      <c r="X50" s="210">
        <f t="shared" ca="1" si="6"/>
        <v>0</v>
      </c>
      <c r="AB50" s="211" t="str">
        <f t="shared" ca="1" si="7"/>
        <v>TinPT Putera Sarana Shakti (PT PSS)</v>
      </c>
    </row>
    <row r="51" spans="1:28" s="210" customFormat="1" ht="20.399999999999999">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399999999999999">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399999999999999">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399999999999999">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399999999999999">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399999999999999">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399999999999999">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399999999999999">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399999999999999">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399999999999999">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399999999999999">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399999999999999">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399999999999999">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399999999999999">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399999999999999">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399999999999999">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399999999999999">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399999999999999">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399999999999999">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399999999999999">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399999999999999">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399999999999999">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399999999999999">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399999999999999">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5DC6377B-1B22-463F-9D0E-81FF468ECB99}"/>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8" customWidth="1"/>
    <col min="2" max="2" width="42.81640625" style="19" customWidth="1"/>
    <col min="3" max="3" width="51.6328125" style="18" customWidth="1"/>
    <col min="4" max="4" width="29.1796875" style="19" customWidth="1"/>
    <col min="5" max="5" width="9" style="18" customWidth="1"/>
    <col min="6" max="6" width="13.6328125" style="18" hidden="1" customWidth="1"/>
    <col min="7" max="7" width="13.36328125" style="18" hidden="1" customWidth="1"/>
    <col min="8" max="9" width="9" style="18" hidden="1" customWidth="1"/>
    <col min="10" max="10" width="48.81640625" style="18" hidden="1" customWidth="1"/>
    <col min="11" max="11" width="9" style="18" hidden="1" customWidth="1"/>
    <col min="12" max="15" width="8.81640625" style="18" hidden="1" customWidth="1"/>
    <col min="16" max="18" width="8.81640625" style="18" customWidth="1"/>
    <col min="19" max="16384" width="8.81640625" style="18"/>
  </cols>
  <sheetData>
    <row r="1" spans="1:10" ht="32.4">
      <c r="A1" s="394" t="str">
        <f ca="1">OFFSET(L!$C$1,MATCH("Checker"&amp;ADDRESS(ROW(),COLUMN(),4),L!$A:$A,0)-1,SL,,)</f>
        <v>To ensure all required fields have been populated before submitting to your customers review form for any line items highlighted in red</v>
      </c>
      <c r="B1" s="394"/>
      <c r="C1" s="394"/>
      <c r="D1" s="116" t="str">
        <f ca="1">OFFSET(L!$C$1,MATCH("Checker"&amp;ADDRESS(ROW(),COLUMN(),4),L!$A:$A,0)-1,SL,,)</f>
        <v>Required fields remaining to be completed</v>
      </c>
      <c r="E1" s="19" t="s">
        <v>769</v>
      </c>
    </row>
    <row r="2" spans="1:10" ht="16.2">
      <c r="A2" s="63" t="s">
        <v>858</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Reell Precision Manufacturing Corporation</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Craig Lundgren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craig.lundgren@reell.com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+1 651-486-3370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Craig Lundgren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craig.lundgren@reell.com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46304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49999999999997"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0</v>
      </c>
      <c r="G67" s="67">
        <f ca="1">IF(AND(COUNTIF(SmelterIdetifiedForMetal,"Gold")&gt;0,COUNTIF('Smelter List'!AB$5:AB$2504,"Gold?*")&gt;0),0,1)</f>
        <v>1</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1640625" defaultRowHeight="12.6"/>
  <cols>
    <col min="1" max="1" width="3.1796875" style="259" customWidth="1"/>
    <col min="2" max="2" width="39.81640625" style="262" customWidth="1"/>
    <col min="3" max="5" width="39.81640625" style="259" customWidth="1"/>
    <col min="6" max="6" width="58.81640625" style="259" customWidth="1"/>
    <col min="7" max="7" width="1.6328125" style="259" customWidth="1"/>
    <col min="8" max="8" width="9" style="259" customWidth="1"/>
    <col min="9" max="16384" width="8.81640625" style="260"/>
  </cols>
  <sheetData>
    <row r="1" spans="1:8" s="20" customFormat="1" ht="35.1" customHeight="1" thickTop="1">
      <c r="A1" s="396" t="str">
        <f ca="1">OFFSET(L!$C$1,MATCH("Product List"&amp;ADDRESS(ROW(),COLUMN(),4),L!$A:$A,0)-1,SL,,)</f>
        <v>Completion required only if reporting level "Product (or List of Products)" selected on the 'Declaration' worksheet.</v>
      </c>
      <c r="B1" s="397"/>
      <c r="C1" s="397"/>
      <c r="D1" s="397"/>
      <c r="E1" s="397"/>
      <c r="F1" s="397"/>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5" t="s">
        <v>858</v>
      </c>
      <c r="C4" s="395"/>
      <c r="D4" s="395"/>
      <c r="E4" s="395"/>
      <c r="F4" s="395"/>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8" t="str">
        <f ca="1">OFFSET(L!$C$1,MATCH("General"&amp;"Cpy",L!$A:$A,0)-1,SL,,)</f>
        <v>© 2026 Responsible Minerals Initiative. All rights reserved.</v>
      </c>
      <c r="C2006" s="398"/>
      <c r="D2006" s="398"/>
      <c r="E2006" s="398"/>
      <c r="F2006" s="398"/>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1640625" defaultRowHeight="12.6"/>
  <cols>
    <col min="1" max="1" width="9.1796875" style="173" bestFit="1" customWidth="1"/>
    <col min="2" max="2" width="42.81640625" style="173" customWidth="1"/>
    <col min="3" max="3" width="63.81640625" style="173" customWidth="1"/>
    <col min="4" max="4" width="25.6328125" style="173" customWidth="1"/>
    <col min="5" max="5" width="12.6328125" style="173" customWidth="1"/>
    <col min="6" max="6" width="12.6328125" style="174" customWidth="1"/>
    <col min="7" max="7" width="15.36328125" style="173" customWidth="1"/>
    <col min="8" max="8" width="23.81640625" style="173" customWidth="1"/>
    <col min="9" max="9" width="28.1796875" style="173" customWidth="1"/>
    <col min="10" max="10" width="48.26953125" style="173" hidden="1" customWidth="1"/>
    <col min="11" max="11" width="49.7265625" style="173" hidden="1" customWidth="1"/>
    <col min="12" max="16384" width="8.81640625" style="173"/>
  </cols>
  <sheetData>
    <row r="1" spans="1:11" ht="168.6" customHeight="1">
      <c r="A1" s="39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9"/>
      <c r="C1" s="399"/>
      <c r="D1" s="399"/>
      <c r="E1" s="399"/>
      <c r="F1" s="399"/>
      <c r="G1" s="399"/>
    </row>
    <row r="2" spans="1:11">
      <c r="A2" s="400"/>
      <c r="B2" s="400"/>
      <c r="C2" s="400"/>
      <c r="D2" s="400"/>
      <c r="E2" s="400"/>
      <c r="F2" s="400"/>
      <c r="G2" s="400"/>
      <c r="H2" s="400"/>
      <c r="I2" s="400"/>
    </row>
    <row r="3" spans="1:11">
      <c r="A3" s="400"/>
      <c r="B3" s="400"/>
      <c r="C3" s="400"/>
      <c r="D3" s="400"/>
      <c r="E3" s="400"/>
      <c r="F3" s="400"/>
      <c r="G3" s="400"/>
      <c r="H3" s="400"/>
      <c r="I3" s="400"/>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1640625" defaultRowHeight="13.8"/>
  <cols>
    <col min="1" max="1" width="14.6328125" style="148" customWidth="1"/>
    <col min="2" max="2" width="14" style="148" customWidth="1"/>
    <col min="3" max="3" width="6.1796875" style="148" customWidth="1"/>
    <col min="4" max="4" width="56.26953125" style="148" customWidth="1"/>
    <col min="5" max="5" width="53.7265625" style="216" customWidth="1"/>
    <col min="6" max="6" width="54.1796875" style="148" customWidth="1"/>
    <col min="7" max="7" width="68.26953125" style="148" customWidth="1"/>
    <col min="8" max="8" width="49.26953125" style="148" customWidth="1"/>
    <col min="9" max="9" width="51.6328125" style="148" customWidth="1"/>
    <col min="10" max="10" width="50.26953125" style="148" customWidth="1"/>
    <col min="11" max="11" width="51.81640625" customWidth="1"/>
    <col min="12" max="12" width="66.81640625" style="239" customWidth="1"/>
    <col min="13" max="13" width="46.1796875" style="106" customWidth="1"/>
    <col min="14" max="15" width="8.81640625" style="106" customWidth="1"/>
    <col min="16" max="16384" width="8.8164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1640625" defaultRowHeight="12.6"/>
  <cols>
    <col min="1" max="1" width="20.6328125" style="62" customWidth="1"/>
    <col min="2" max="2" width="57.1796875" style="62" customWidth="1"/>
    <col min="3" max="16384" width="8.8164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428C391B-F0CE-4825-83B5-67AEB9E4D0A6}"/>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1640625" defaultRowHeight="12.6"/>
  <cols>
    <col min="1" max="1" width="11.1796875" customWidth="1"/>
    <col min="2" max="2" width="25.7265625" customWidth="1"/>
    <col min="3" max="3" width="11.8164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3121E57E-776B-41C0-97BF-E3B1A91DE2F7}"/>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Craig Lundgren</cp:lastModifiedBy>
  <cp:lastPrinted>2015-04-21T20:47:43Z</cp:lastPrinted>
  <dcterms:created xsi:type="dcterms:W3CDTF">2010-06-21T21:00:23Z</dcterms:created>
  <dcterms:modified xsi:type="dcterms:W3CDTF">2026-10-28T16:57:04Z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