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F:\QA\Environmental Supplier List\CMRT\"/>
    </mc:Choice>
  </mc:AlternateContent>
  <xr:revisionPtr revIDLastSave="0" documentId="8_{BB240AF2-38D3-4F02-AD04-D272AB301C6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539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S6" i="5"/>
  <c r="T6" i="5"/>
  <c r="V7" i="5"/>
  <c r="S7" i="5"/>
  <c r="T7" i="5"/>
  <c r="V8" i="5"/>
  <c r="S8" i="5"/>
  <c r="T8" i="5"/>
  <c r="V9" i="5"/>
  <c r="S9" i="5"/>
  <c r="T9" i="5"/>
  <c r="V10" i="5"/>
  <c r="S10" i="5"/>
  <c r="T10" i="5"/>
  <c r="V11" i="5"/>
  <c r="S11" i="5"/>
  <c r="T11" i="5"/>
  <c r="V12" i="5"/>
  <c r="S12" i="5"/>
  <c r="T12" i="5"/>
  <c r="V13" i="5"/>
  <c r="S13" i="5"/>
  <c r="T13" i="5"/>
  <c r="V14" i="5"/>
  <c r="S14" i="5"/>
  <c r="T14" i="5"/>
  <c r="V15" i="5"/>
  <c r="S15" i="5"/>
  <c r="T15" i="5"/>
  <c r="V16" i="5"/>
  <c r="S16" i="5"/>
  <c r="T16" i="5"/>
  <c r="V17" i="5"/>
  <c r="S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R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AB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R10" i="5"/>
  <c r="R11" i="5"/>
  <c r="R12" i="5"/>
  <c r="R13" i="5"/>
  <c r="R14" i="5"/>
  <c r="R15" i="5"/>
  <c r="R16"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R5" i="5"/>
  <c r="X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<sst xmlns="http://schemas.openxmlformats.org/spreadsheetml/2006/main" count="22632" uniqueCount="15896">
  <si>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</si>
  <si>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</si>
  <si>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</si>
  <si>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</si>
  <si>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</si>
  <si>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</si>
  <si>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</si>
  <si>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</si>
  <si>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</si>
  <si>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</si>
  <si>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</si>
  <si>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</si>
  <si>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</si>
  <si>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</si>
  <si>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</si>
  <si>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</si>
  <si>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</si>
  <si>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</si>
  <si>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</si>
  <si>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</si>
  <si>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</si>
  <si>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</si>
  <si>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</si>
  <si>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</si>
  <si>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</si>
  <si>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</si>
  <si>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</si>
  <si>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</si>
  <si>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</si>
  <si>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</si>
  <si>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</si>
  <si>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</si>
  <si>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</si>
  <si>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</si>
  <si>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</si>
  <si>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</si>
  <si>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</si>
  <si>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</si>
  <si>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</si>
  <si>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</si>
  <si>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</si>
  <si>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</si>
  <si>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</si>
  <si>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</si>
  <si>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</si>
  <si>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</si>
  <si>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</si>
  <si>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</si>
  <si>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</si>
  <si>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</si>
  <si>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</si>
  <si>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</si>
  <si>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</si>
  <si>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</si>
  <si>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</si>
  <si>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</si>
  <si>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</si>
  <si>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</si>
  <si>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</si>
  <si>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</si>
  <si>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</si>
  <si>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</si>
  <si>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</si>
  <si>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</si>
  <si>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</si>
  <si>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</si>
  <si>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</si>
  <si>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</si>
  <si>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</si>
  <si>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</si>
  <si>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</si>
  <si>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</si>
  <si>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</si>
  <si>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</si>
  <si>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</si>
  <si>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</si>
  <si>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</si>
  <si>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</si>
  <si>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</si>
  <si>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</si>
  <si>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</si>
  <si>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</si>
  <si>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</si>
  <si>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</si>
  <si>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</si>
  <si>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</si>
  <si>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</si>
  <si>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</si>
  <si>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</si>
  <si>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</si>
  <si>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</si>
  <si>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</si>
  <si>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</si>
  <si>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</si>
  <si>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</si>
  <si>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</si>
  <si>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</si>
  <si>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</si>
  <si>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</si>
  <si>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</si>
  <si>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</si>
  <si>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</si>
  <si>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</si>
  <si>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</si>
  <si>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</si>
  <si>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</si>
  <si>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</si>
  <si>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</si>
  <si>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</si>
  <si>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</si>
  <si>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</si>
  <si>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</si>
  <si>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</si>
  <si>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</si>
  <si>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</si>
  <si>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</si>
  <si>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</si>
  <si>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</si>
  <si>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</si>
  <si>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</si>
  <si>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</si>
  <si>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</si>
  <si>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</si>
  <si>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</si>
  <si>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</si>
  <si>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</si>
  <si>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</si>
  <si>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</si>
  <si>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</si>
  <si>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</si>
  <si>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</si>
  <si>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</si>
  <si>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</si>
  <si>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</si>
  <si>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</si>
  <si>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</si>
  <si>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</si>
  <si>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</si>
  <si>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</si>
  <si>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</si>
  <si>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</si>
  <si>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</si>
  <si>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</si>
  <si>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</si>
  <si>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</si>
  <si>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</si>
  <si>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</si>
  <si>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</si>
  <si>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</si>
  <si>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</si>
  <si>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</si>
  <si>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</si>
  <si>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</si>
  <si>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</si>
  <si>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</si>
  <si>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</si>
  <si>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</si>
  <si>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</si>
  <si>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</si>
  <si>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</si>
  <si>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</si>
  <si>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</si>
  <si>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</si>
  <si>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</si>
  <si>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</si>
  <si>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</si>
  <si>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</si>
  <si>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</si>
  <si>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</si>
  <si>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</si>
  <si>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</si>
  <si>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</si>
  <si>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</si>
  <si>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</si>
  <si>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</si>
  <si>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</si>
  <si>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</si>
  <si>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</si>
  <si>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</si>
  <si>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</si>
  <si>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</si>
  <si>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</si>
  <si>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</si>
  <si>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</si>
  <si>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</si>
  <si>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</si>
  <si>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</si>
  <si>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</si>
  <si>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</si>
  <si>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</si>
  <si>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</si>
  <si>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</si>
  <si>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</si>
  <si>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</si>
  <si>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</si>
  <si>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</si>
  <si>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</si>
  <si>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</si>
  <si>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</si>
  <si>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</si>
  <si>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</si>
  <si>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</si>
  <si>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</si>
  <si>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</si>
  <si>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</si>
  <si>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</si>
  <si>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</si>
  <si>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</si>
  <si>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</si>
  <si>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</si>
  <si>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</si>
  <si>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</si>
  <si>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</si>
  <si>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</si>
  <si>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</si>
  <si>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</si>
  <si>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</si>
  <si>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</si>
  <si>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</si>
  <si>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</si>
  <si>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</si>
  <si>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</si>
  <si>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</si>
  <si>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</si>
  <si>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</si>
  <si>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</si>
  <si>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</si>
  <si>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</si>
  <si>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</si>
  <si>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</si>
  <si>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</si>
  <si>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</si>
  <si>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</si>
  <si>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</si>
  <si>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</si>
  <si>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</si>
  <si>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</si>
  <si>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</si>
  <si>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</si>
  <si>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</si>
  <si>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</si>
  <si>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</si>
  <si>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</si>
  <si>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</si>
  <si>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</si>
  <si>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</si>
  <si>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</si>
  <si>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</si>
  <si>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</si>
  <si>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</si>
  <si>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</si>
  <si>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</si>
  <si>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</si>
  <si>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</si>
  <si>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</si>
  <si>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</si>
  <si>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</si>
  <si>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</si>
  <si>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</si>
  <si>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</si>
  <si>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</si>
  <si>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</si>
  <si>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</si>
  <si>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</si>
  <si>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</si>
  <si>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</si>
  <si>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</si>
  <si>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</si>
  <si>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</si>
  <si>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</si>
  <si>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</si>
  <si>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</si>
  <si>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</si>
  <si>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</si>
  <si>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</si>
  <si>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</si>
  <si>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</si>
  <si>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</si>
  <si>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</si>
  <si>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</si>
  <si>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</si>
  <si>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</si>
  <si>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</si>
  <si>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</si>
  <si>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</si>
  <si>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</si>
  <si>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</si>
  <si>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</si>
  <si>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</si>
  <si>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</si>
  <si>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</si>
  <si>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</si>
  <si>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</si>
  <si>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</si>
  <si>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</si>
  <si>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</si>
  <si>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</si>
  <si>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</si>
  <si>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</si>
  <si>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</si>
  <si>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</si>
  <si>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</si>
  <si>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</si>
  <si>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</si>
  <si>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</si>
  <si>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</si>
  <si>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</si>
  <si>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</si>
  <si>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</si>
  <si>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</si>
  <si>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</si>
  <si>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</si>
  <si>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</si>
  <si>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</si>
  <si>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</si>
  <si>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</si>
  <si>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</si>
  <si>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</si>
  <si>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</si>
  <si>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</si>
  <si>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</si>
  <si>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</si>
  <si>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</si>
  <si>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</si>
  <si>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</si>
  <si>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</si>
  <si>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</si>
  <si>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</si>
  <si>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</si>
  <si>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</si>
  <si>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</si>
  <si>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</si>
  <si>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</si>
  <si>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</si>
  <si>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</si>
  <si>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</si>
  <si>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</si>
  <si>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</si>
  <si>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</si>
  <si>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</si>
  <si>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</si>
  <si>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</si>
  <si>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</si>
  <si>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</si>
  <si>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</si>
  <si>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</si>
  <si>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</si>
  <si>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</si>
  <si>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</si>
  <si>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</si>
  <si>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</si>
  <si>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</si>
  <si>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</si>
  <si>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</si>
  <si>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</si>
  <si>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</si>
  <si>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</si>
  <si>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</si>
  <si>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</si>
  <si>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</si>
  <si>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</si>
  <si>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</si>
  <si>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</si>
  <si>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</si>
  <si>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</si>
  <si>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</si>
  <si>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</si>
  <si>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</si>
  <si>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</si>
  <si>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</si>
  <si>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</si>
  <si>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</si>
  <si>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</si>
  <si>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</si>
  <si>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</si>
  <si>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</si>
  <si>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</si>
  <si>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</si>
  <si>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</si>
  <si>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</si>
  <si>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</si>
  <si>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</si>
  <si>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</si>
  <si>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</si>
  <si>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</si>
  <si>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</si>
  <si>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</si>
  <si>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</si>
  <si>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</si>
  <si>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</si>
  <si>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</si>
  <si>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</si>
  <si>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</si>
  <si>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</si>
  <si>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</si>
  <si>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</si>
  <si>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</si>
  <si>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</si>
  <si>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</si>
  <si>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</si>
  <si>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</si>
  <si>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</si>
  <si>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</si>
  <si>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</si>
  <si>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</si>
  <si>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</si>
  <si>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</si>
  <si>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</si>
  <si>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</si>
  <si>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</si>
  <si>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</si>
  <si>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</si>
  <si>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</si>
  <si>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</si>
  <si>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</si>
  <si>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</si>
  <si>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</si>
  <si>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</si>
  <si>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</si>
  <si>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</si>
  <si>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</si>
  <si>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</si>
  <si>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</si>
  <si>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</si>
  <si>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</si>
  <si>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</si>
  <si>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</si>
  <si>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</si>
  <si>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</si>
  <si>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</si>
  <si>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</si>
  <si>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</si>
  <si>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</si>
  <si>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</si>
  <si>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</si>
  <si>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</si>
  <si>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</si>
  <si>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</si>
  <si>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</si>
  <si>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</si>
  <si>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</si>
  <si>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</si>
  <si>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</si>
  <si>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</si>
  <si>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</si>
  <si>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</si>
  <si>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</si>
  <si>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</si>
  <si>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</si>
  <si>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</si>
  <si>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</si>
  <si>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</si>
  <si>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</si>
  <si>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</si>
  <si>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</si>
  <si>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</si>
  <si>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</si>
  <si>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</si>
  <si>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</si>
  <si>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</si>
  <si>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</si>
  <si>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</si>
  <si>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</si>
  <si>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</si>
  <si>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</si>
  <si>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</si>
  <si>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</si>
  <si>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</si>
  <si>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</si>
  <si>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</si>
  <si>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</si>
  <si>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</si>
  <si>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</si>
  <si>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</si>
  <si>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</si>
  <si>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</si>
  <si>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</si>
  <si>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</si>
  <si>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</si>
  <si>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</si>
  <si>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</si>
  <si>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</si>
  <si>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</si>
  <si>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</si>
  <si>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</si>
  <si>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</si>
  <si>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</si>
  <si>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</si>
  <si>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</si>
  <si>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</si>
  <si>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</si>
  <si>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</si>
  <si>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</si>
  <si>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</si>
  <si>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</si>
  <si>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</si>
  <si>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</si>
  <si>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</si>
  <si>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</si>
  <si>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</si>
  <si>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</si>
  <si>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</si>
  <si>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</si>
  <si>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</si>
  <si>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</si>
  <si>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</si>
  <si>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</si>
  <si>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</si>
  <si>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</si>
  <si>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</si>
  <si>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</si>
  <si>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</si>
  <si>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</si>
  <si>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</si>
  <si>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</si>
  <si>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</si>
  <si>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</si>
  <si>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</si>
  <si>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</si>
  <si>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</si>
  <si>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</si>
  <si>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</si>
  <si>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</si>
  <si>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</si>
  <si>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</si>
  <si>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</si>
  <si>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</si>
  <si>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</si>
  <si>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</si>
  <si>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</si>
  <si>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</si>
  <si>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</si>
  <si>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</si>
  <si>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</si>
  <si>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</si>
  <si>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</si>
  <si>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</si>
  <si>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</si>
  <si>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</si>
  <si>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</si>
  <si>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</si>
  <si>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</si>
  <si>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</si>
  <si>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</si>
  <si>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</si>
  <si>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</si>
  <si>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</si>
  <si>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</si>
  <si>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</si>
  <si>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</si>
  <si>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</si>
  <si>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</si>
  <si>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</si>
  <si>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</si>
  <si>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</si>
  <si>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</si>
  <si>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</si>
  <si>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</si>
  <si>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</si>
  <si>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</si>
  <si>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</si>
  <si>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</si>
  <si>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</si>
  <si>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</si>
  <si>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</si>
  <si>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</si>
  <si>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</si>
  <si>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</si>
  <si>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</si>
  <si>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</si>
  <si>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</si>
  <si>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</si>
  <si>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</si>
  <si>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</si>
  <si>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</si>
  <si>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</si>
  <si>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</si>
  <si>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</si>
  <si>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</si>
  <si>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</si>
  <si>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</si>
  <si>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</si>
  <si>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</si>
  <si>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</si>
  <si>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</si>
  <si>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</si>
  <si>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</si>
  <si>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</si>
  <si>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</si>
  <si>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</si>
  <si>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</si>
  <si>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</si>
  <si>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</si>
  <si>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</si>
  <si>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</si>
  <si>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</si>
  <si>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</si>
  <si>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</si>
  <si>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</si>
  <si>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</si>
  <si>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</si>
  <si>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</si>
  <si>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</si>
  <si>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</si>
  <si>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</si>
  <si>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</si>
  <si>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</si>
  <si>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</si>
  <si>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</si>
  <si>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</si>
  <si>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</si>
  <si>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</si>
  <si>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</si>
  <si>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</si>
  <si>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</si>
  <si>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</si>
  <si>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</si>
  <si>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</si>
  <si>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</si>
  <si>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</si>
  <si>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</si>
  <si>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</si>
  <si>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</si>
  <si>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</si>
  <si>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</si>
  <si>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</si>
  <si>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</si>
  <si>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</si>
  <si>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</si>
  <si>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</si>
  <si>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</si>
  <si>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</si>
  <si>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</si>
  <si>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</si>
  <si>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</si>
  <si>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</si>
  <si>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</si>
  <si>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</si>
  <si>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</si>
  <si>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</si>
  <si>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</si>
  <si>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</si>
  <si>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</si>
  <si>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</si>
  <si>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</si>
  <si>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</si>
  <si>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</si>
  <si>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</si>
  <si>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</si>
  <si>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</si>
  <si>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</si>
  <si>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</si>
  <si>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</si>
  <si>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</si>
  <si>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</si>
  <si>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</si>
  <si>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</si>
  <si>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</si>
  <si>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</si>
  <si>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</si>
  <si>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</si>
  <si>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</si>
  <si>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</si>
  <si>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</si>
  <si>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</si>
  <si>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</si>
  <si>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</si>
  <si>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</si>
  <si>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</si>
  <si>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</si>
  <si>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</si>
  <si>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</si>
  <si>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</si>
  <si>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</si>
  <si>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</si>
  <si>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</si>
  <si>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</si>
  <si>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</si>
  <si>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</si>
  <si>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</si>
  <si>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</si>
  <si>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</si>
  <si>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</si>
  <si>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</si>
  <si>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</si>
  <si>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</si>
  <si>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</si>
  <si>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</si>
  <si>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</si>
  <si>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</si>
  <si>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</si>
  <si>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</si>
  <si>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</si>
  <si>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</si>
  <si>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</si>
  <si>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</si>
  <si>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</si>
  <si>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</si>
  <si>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</si>
  <si>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</si>
  <si>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</si>
  <si>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</si>
  <si>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</si>
  <si>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</si>
  <si>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</si>
  <si>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</si>
  <si>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</si>
  <si>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</si>
  <si>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</si>
  <si>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</si>
  <si>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</si>
  <si>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</si>
  <si>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</si>
  <si>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</si>
  <si>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</si>
  <si>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</si>
  <si>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</si>
  <si>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</si>
  <si>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</si>
  <si>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</si>
  <si>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</si>
  <si>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</si>
  <si>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</si>
  <si>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</si>
  <si>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</si>
  <si>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</si>
  <si>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</si>
  <si>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</si>
  <si>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</si>
  <si>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</si>
  <si>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</si>
  <si>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</si>
  <si>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</si>
  <si>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</si>
  <si>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</si>
  <si>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</si>
  <si>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</si>
  <si>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</si>
  <si>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</si>
  <si>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</si>
  <si>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</si>
  <si>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</si>
  <si>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</si>
  <si>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</si>
  <si>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</si>
  <si>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</si>
  <si>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</si>
  <si>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</si>
  <si>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</si>
  <si>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</si>
  <si>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</si>
  <si>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</si>
  <si>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</si>
  <si>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</si>
  <si>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</si>
  <si>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</si>
  <si>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</si>
  <si>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</si>
  <si>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</si>
  <si>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</si>
  <si>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</si>
  <si>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</si>
  <si>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</si>
  <si>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</si>
  <si>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</si>
  <si>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</si>
  <si>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</si>
  <si>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</si>
  <si>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</si>
  <si>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</si>
  <si>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</si>
  <si>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</si>
  <si>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</si>
  <si>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</si>
  <si>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</si>
  <si>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</si>
  <si>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</si>
  <si>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</si>
  <si>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</si>
  <si>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</si>
  <si>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</si>
  <si>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</si>
  <si>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</si>
  <si>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</si>
  <si>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</si>
  <si>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</si>
  <si>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</si>
  <si>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</si>
  <si>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</si>
  <si>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</si>
  <si>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</si>
  <si>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</si>
  <si>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</si>
  <si>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</si>
  <si>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</si>
  <si>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</si>
  <si>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</si>
  <si>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</si>
  <si>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</si>
  <si>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</si>
  <si>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</si>
  <si>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</si>
  <si>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</si>
  <si>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</si>
  <si>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</si>
  <si>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</si>
  <si>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</si>
  <si>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</si>
  <si>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</si>
  <si>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</si>
  <si>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</si>
  <si>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</si>
  <si>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</si>
  <si>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</si>
  <si>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</si>
  <si>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</si>
  <si>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</si>
  <si>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</si>
  <si>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</si>
  <si>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</si>
  <si>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</si>
  <si>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</si>
  <si>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</si>
  <si>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</si>
  <si>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</si>
  <si>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</si>
  <si>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</si>
  <si>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</si>
  <si>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</si>
  <si>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</si>
  <si>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</si>
  <si>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</si>
  <si>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</si>
  <si>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</si>
  <si>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</si>
  <si>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</si>
  <si>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</si>
  <si>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</si>
  <si>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</si>
  <si>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</si>
  <si>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</si>
  <si>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</si>
  <si>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</si>
  <si>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</si>
  <si>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</si>
  <si>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</si>
  <si>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</si>
  <si>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</si>
  <si>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</si>
  <si>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</si>
  <si>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</si>
  <si>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</si>
  <si>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</si>
  <si>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</si>
  <si>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</si>
  <si>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</si>
  <si>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</si>
  <si>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</si>
  <si>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</si>
  <si>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</si>
  <si>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</si>
  <si>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</si>
  <si>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</si>
  <si>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</si>
  <si>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</si>
  <si>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</si>
  <si>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</si>
  <si>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</si>
  <si>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</si>
  <si>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</si>
  <si>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</si>
  <si>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</si>
  <si>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</si>
  <si>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</si>
  <si>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</si>
  <si>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</si>
  <si>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</si>
  <si>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</si>
  <si>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</si>
  <si>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</si>
  <si>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</si>
  <si>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</si>
  <si>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</si>
  <si>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</si>
  <si>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</si>
  <si>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</si>
  <si>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</si>
  <si>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</si>
  <si>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</si>
  <si>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</si>
  <si>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</si>
  <si>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</si>
  <si>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</si>
  <si>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</si>
  <si>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</si>
  <si>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</si>
  <si>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</si>
  <si>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</si>
  <si>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</si>
  <si>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</si>
  <si>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</si>
  <si>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</si>
  <si>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</si>
  <si>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</si>
  <si>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</si>
  <si>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</si>
  <si>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</si>
  <si>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</si>
  <si>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</si>
  <si>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</si>
  <si>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</si>
  <si>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</si>
  <si>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</si>
  <si>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</si>
  <si>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</si>
  <si>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</si>
  <si>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</si>
  <si>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</si>
  <si>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</si>
  <si>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</si>
  <si>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</si>
  <si>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</si>
  <si>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</si>
  <si>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</si>
  <si>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</si>
  <si>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</si>
  <si>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</si>
  <si>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</si>
  <si>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</si>
  <si>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</si>
  <si>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</si>
  <si>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</si>
  <si>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</si>
  <si>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</si>
  <si>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</si>
  <si>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</si>
  <si>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</si>
  <si>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</si>
  <si>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</si>
  <si>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</si>
  <si>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</si>
  <si>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</si>
  <si>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</si>
  <si>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</si>
  <si>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</si>
  <si>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</si>
  <si>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</si>
  <si>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</si>
  <si>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</si>
  <si>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</si>
  <si>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</si>
  <si>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</si>
  <si>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</si>
  <si>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</si>
  <si>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</si>
  <si>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</si>
  <si>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</si>
  <si>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</si>
  <si>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</si>
  <si>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</si>
  <si>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</si>
  <si>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</si>
  <si>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</si>
  <si>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</si>
  <si>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</si>
  <si>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</si>
  <si>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</si>
  <si>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</si>
  <si>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</si>
  <si>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</si>
  <si>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</si>
  <si>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</si>
  <si>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</si>
  <si>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</si>
  <si>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</si>
  <si>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</si>
  <si>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</si>
  <si>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</si>
  <si>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</si>
  <si>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</si>
  <si>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</si>
  <si>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</si>
  <si>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</si>
  <si>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</si>
  <si>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</si>
  <si>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</si>
  <si>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</si>
  <si>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</si>
  <si>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</si>
  <si>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</si>
  <si>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</si>
  <si>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</si>
  <si>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</si>
  <si>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</si>
  <si>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</si>
  <si>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</si>
  <si>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</si>
  <si>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</si>
  <si>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</si>
  <si>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</si>
  <si>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</si>
  <si>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</si>
  <si>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</si>
  <si>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</si>
  <si>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</si>
  <si>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</si>
  <si>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</si>
  <si>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</si>
  <si>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</si>
  <si>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</si>
  <si>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</si>
  <si>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</si>
  <si>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</si>
  <si>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</si>
  <si>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</si>
  <si>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</si>
  <si>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</si>
  <si>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</si>
  <si>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</si>
  <si>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</si>
  <si>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</si>
  <si>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</si>
  <si>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</si>
  <si>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</si>
  <si>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</si>
  <si>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</si>
  <si>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</si>
  <si>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</si>
  <si>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</si>
  <si>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</si>
  <si>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</si>
  <si>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</si>
  <si>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</si>
  <si>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</si>
  <si>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</si>
  <si>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</si>
  <si>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</si>
  <si>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</si>
  <si>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</si>
  <si>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</si>
  <si>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</si>
  <si>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</si>
  <si>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</si>
  <si>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</si>
  <si>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</si>
  <si>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</si>
  <si>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</si>
  <si>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</si>
  <si>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</si>
  <si>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</si>
  <si>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</si>
  <si>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</si>
  <si>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</si>
  <si>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</si>
  <si>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</si>
  <si>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</si>
  <si>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</si>
  <si>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</si>
  <si>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</si>
  <si>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</si>
  <si>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</si>
  <si>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</si>
  <si>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</si>
  <si>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</si>
  <si>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</si>
  <si>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</si>
  <si>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</si>
  <si>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</si>
  <si>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</si>
  <si>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</si>
  <si>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</si>
  <si>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</si>
  <si>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</si>
  <si>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</si>
  <si>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</si>
  <si>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</si>
  <si>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</si>
  <si>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</si>
  <si>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</si>
  <si>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</si>
  <si>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</si>
  <si>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</si>
  <si>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</si>
  <si>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</si>
  <si>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</si>
  <si>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</si>
  <si>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</si>
  <si>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</si>
  <si>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</si>
  <si>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</si>
  <si>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</si>
  <si>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</si>
  <si>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</si>
  <si>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</si>
  <si>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</si>
  <si>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</si>
  <si>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</si>
  <si>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</si>
  <si>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</si>
  <si>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</si>
  <si>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</si>
  <si>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</si>
  <si>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</si>
  <si>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</si>
  <si>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</si>
  <si>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</si>
  <si>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</si>
  <si>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</si>
  <si>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</si>
  <si>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</si>
  <si>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</si>
  <si>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</si>
  <si>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</si>
  <si>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</si>
  <si>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</si>
  <si>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</si>
  <si>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</si>
  <si>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</si>
  <si>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</si>
  <si>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</si>
  <si>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</si>
  <si>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</si>
  <si>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</si>
  <si>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</si>
  <si>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</si>
  <si>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</si>
  <si>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</si>
  <si>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</si>
  <si>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</si>
  <si>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</si>
  <si>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</si>
  <si>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</si>
  <si>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</si>
  <si>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</si>
  <si>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</si>
  <si>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</si>
  <si>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</si>
  <si>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</si>
  <si>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</si>
  <si>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</si>
  <si>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</si>
  <si>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</si>
  <si>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</si>
  <si>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</si>
  <si>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</si>
  <si>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</si>
  <si>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</si>
  <si>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</si>
  <si>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</si>
  <si>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</si>
  <si>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</si>
  <si>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</si>
  <si>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</si>
  <si>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</si>
  <si>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</si>
  <si>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</si>
  <si>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</si>
  <si>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</si>
  <si>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</si>
  <si>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</si>
  <si>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</si>
  <si>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</si>
  <si>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</si>
  <si>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</si>
  <si>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</si>
  <si>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</si>
  <si>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</si>
  <si>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</si>
  <si>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</si>
  <si>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</si>
  <si>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</si>
  <si>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</si>
  <si>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</si>
  <si>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</si>
  <si>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</si>
  <si>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</si>
  <si>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</si>
  <si>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</si>
  <si>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</si>
  <si>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</si>
  <si>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</si>
  <si>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</si>
  <si>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</si>
  <si>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</si>
  <si>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</si>
  <si>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</si>
  <si>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</si>
  <si>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</si>
  <si>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</si>
  <si>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</si>
  <si>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</si>
  <si>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</si>
  <si>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</si>
  <si>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</si>
  <si>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</si>
  <si>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</si>
  <si>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</si>
  <si>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</si>
  <si>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</si>
  <si>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</si>
  <si>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</si>
  <si>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</si>
  <si>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</si>
  <si>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</si>
  <si>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</si>
  <si>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</si>
  <si>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</si>
  <si>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</si>
  <si>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</si>
  <si>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</si>
  <si>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</si>
  <si>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</si>
  <si>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</si>
  <si>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</si>
  <si>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</si>
  <si>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</si>
  <si>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</si>
  <si>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</si>
  <si>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</si>
  <si>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</si>
  <si>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</si>
  <si>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</si>
  <si>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</si>
  <si>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</si>
  <si>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</si>
  <si>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</si>
  <si>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</si>
  <si>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</si>
  <si>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</si>
  <si>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</si>
  <si>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</si>
  <si>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</si>
  <si>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</si>
  <si>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</si>
  <si>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</si>
  <si>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</si>
  <si>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</si>
  <si>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</si>
  <si>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</si>
  <si>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</si>
  <si>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</si>
  <si>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</si>
  <si>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</si>
  <si>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</si>
  <si>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</si>
  <si>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</si>
  <si>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</si>
  <si>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</si>
  <si>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</si>
  <si>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</si>
  <si>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</si>
  <si>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</si>
  <si>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</si>
  <si>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</si>
  <si>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</si>
  <si>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</si>
  <si>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</si>
  <si>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</si>
  <si>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</si>
  <si>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</si>
  <si>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</si>
  <si>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</si>
  <si>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</si>
  <si>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</si>
  <si>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</si>
  <si>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</si>
  <si>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</si>
  <si>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</si>
  <si>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</si>
  <si>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</si>
  <si>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</si>
  <si>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</si>
  <si>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</si>
  <si>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</si>
  <si>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</si>
  <si>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</si>
  <si>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</si>
  <si>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</si>
  <si>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</si>
  <si>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</si>
  <si>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</si>
  <si>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</si>
  <si>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</si>
  <si>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</si>
  <si>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</si>
  <si>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</si>
  <si>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</si>
  <si>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</si>
  <si>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</si>
  <si>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</si>
  <si>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</si>
  <si>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</si>
  <si>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</si>
  <si>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</si>
  <si>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</si>
  <si>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</si>
  <si>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</si>
  <si>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</si>
  <si>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</si>
  <si>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</si>
  <si>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</si>
  <si>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</si>
  <si>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</si>
  <si>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</si>
  <si>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</si>
  <si>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</si>
  <si>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</si>
  <si>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</si>
  <si>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</si>
  <si>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</si>
  <si>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</si>
  <si>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</si>
  <si>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</si>
  <si>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</si>
  <si>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</si>
  <si>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</si>
  <si>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</si>
  <si>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</si>
  <si>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</si>
  <si>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</si>
  <si>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</si>
  <si>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</si>
  <si>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</si>
  <si>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</si>
  <si>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</si>
  <si>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</si>
  <si>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</si>
  <si>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</si>
  <si>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</si>
  <si>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</si>
  <si>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</si>
  <si>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</si>
  <si>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</si>
  <si>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</si>
  <si>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</si>
  <si>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</si>
  <si>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</si>
  <si>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</si>
  <si>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</si>
  <si>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</si>
  <si>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</si>
  <si>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</si>
  <si>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</si>
  <si>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</si>
  <si>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</si>
  <si>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</si>
  <si>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</si>
  <si>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</si>
  <si>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</si>
  <si>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</si>
  <si>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</si>
  <si>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</si>
  <si>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</si>
  <si>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</si>
  <si>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</si>
  <si>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</si>
  <si>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</si>
  <si>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</si>
  <si>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</si>
  <si>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</si>
  <si>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</si>
  <si>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</si>
  <si>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</si>
  <si>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</si>
  <si>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</si>
  <si>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</si>
  <si>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</si>
  <si>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</si>
  <si>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</si>
  <si>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</si>
  <si>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</si>
  <si>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</si>
  <si>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</si>
  <si>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</si>
  <si>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</si>
  <si>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</si>
  <si>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</si>
  <si>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</si>
  <si>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</si>
  <si>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</si>
  <si>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</si>
  <si>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</si>
  <si>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</si>
  <si>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</si>
  <si>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</si>
  <si>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</si>
  <si>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</si>
  <si>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</si>
  <si>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</si>
  <si>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</si>
  <si>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</si>
  <si>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</si>
  <si>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</si>
  <si>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</si>
  <si>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</si>
  <si>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</si>
  <si>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</si>
  <si>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</si>
  <si>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</si>
  <si>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</si>
  <si>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</si>
  <si>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</si>
  <si>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</si>
  <si>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</si>
  <si>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</si>
  <si>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</si>
  <si>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</si>
  <si>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</si>
  <si>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</si>
  <si>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</si>
  <si>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</si>
  <si>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</si>
  <si>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</si>
  <si>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</si>
  <si>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</si>
  <si>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</si>
  <si>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</si>
  <si>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</si>
  <si>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</si>
  <si>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</si>
  <si>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</si>
  <si>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</si>
  <si>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</si>
  <si>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</si>
  <si>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</si>
  <si>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</si>
  <si>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</si>
  <si>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</si>
  <si>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</si>
  <si>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</si>
  <si>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</si>
  <si>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</si>
  <si>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</si>
  <si>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</si>
  <si>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</si>
  <si>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</si>
  <si>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</si>
  <si>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</si>
  <si>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</si>
  <si>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</si>
  <si>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</si>
  <si>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</si>
  <si>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</si>
  <si>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</si>
  <si>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</si>
  <si>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</si>
  <si>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</si>
  <si>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</si>
  <si>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</si>
  <si>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</si>
  <si>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</si>
  <si>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</si>
  <si>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</si>
  <si>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</si>
  <si>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</si>
  <si>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</si>
  <si>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</si>
  <si>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</si>
  <si>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</si>
  <si>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</si>
  <si>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</si>
  <si>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</si>
  <si>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</si>
  <si>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</si>
  <si>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</si>
  <si>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</si>
  <si>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</si>
  <si>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</si>
  <si>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</si>
  <si>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</si>
  <si>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</si>
  <si>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</si>
  <si>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</si>
  <si>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</si>
  <si>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</si>
  <si>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</si>
  <si>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</si>
  <si>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</si>
  <si>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</si>
  <si>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</si>
  <si>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</si>
  <si>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</si>
  <si>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</si>
  <si>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</si>
  <si>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</si>
  <si>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</si>
  <si>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</si>
  <si>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</si>
  <si>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</si>
  <si>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</si>
  <si>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</si>
  <si>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</si>
  <si>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</si>
  <si>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</si>
  <si>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</si>
  <si>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</si>
  <si>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</si>
  <si>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</si>
  <si>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</si>
  <si>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</si>
  <si>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</si>
  <si>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</si>
  <si>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</si>
  <si>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</si>
  <si>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</si>
  <si>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</si>
  <si>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</si>
  <si>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</si>
  <si>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</si>
  <si>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</si>
  <si>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</si>
  <si>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</si>
  <si>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</si>
  <si>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</si>
  <si>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</si>
  <si>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</si>
  <si>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</si>
  <si>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</si>
  <si>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</si>
  <si>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</si>
  <si>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</si>
  <si>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</si>
  <si>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</si>
  <si>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</si>
  <si>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</si>
  <si>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</si>
  <si>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</si>
  <si>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</si>
  <si>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</si>
  <si>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</si>
  <si>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</si>
  <si>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</si>
  <si>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</si>
  <si>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</si>
  <si>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</si>
  <si>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</si>
  <si>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</si>
  <si>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</si>
  <si>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</si>
  <si>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</si>
  <si>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</si>
  <si>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</si>
  <si>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</si>
  <si>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</si>
  <si>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</si>
  <si>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</si>
  <si>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</si>
  <si>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</si>
  <si>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</si>
  <si>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</si>
  <si>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</si>
  <si>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</si>
  <si>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</si>
  <si>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</si>
  <si>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</si>
  <si>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</si>
  <si>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</si>
  <si>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</si>
  <si>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</si>
  <si>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</si>
  <si>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</si>
  <si>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</si>
  <si>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</si>
  <si>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</si>
  <si>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</si>
  <si>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</si>
  <si>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</si>
  <si>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</si>
  <si>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</si>
  <si>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</si>
  <si>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</si>
  <si>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</si>
  <si>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</si>
  <si>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</si>
  <si>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</si>
  <si>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</si>
  <si>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</si>
  <si>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</si>
  <si>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</si>
  <si>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</si>
  <si>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</si>
  <si>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</si>
  <si>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</si>
  <si>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</si>
  <si>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</si>
  <si>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</si>
  <si>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</si>
  <si>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</si>
  <si>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</si>
  <si>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</si>
  <si>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</si>
  <si>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</si>
  <si>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</si>
  <si>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</si>
  <si>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</si>
  <si>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</si>
  <si>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</si>
  <si>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</si>
  <si>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</si>
  <si>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</si>
  <si>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</si>
  <si>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</si>
  <si>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</si>
  <si>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</si>
  <si>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</si>
  <si>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</si>
  <si>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</si>
  <si>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</si>
  <si>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</si>
  <si>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</si>
  <si>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</si>
  <si>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</si>
  <si>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</si>
  <si>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</si>
  <si>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</si>
  <si>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</si>
  <si>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</si>
  <si>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</si>
  <si>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</si>
  <si>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</si>
  <si>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</si>
  <si>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</si>
  <si>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</si>
  <si>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</si>
  <si>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</si>
  <si>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</si>
  <si>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</si>
  <si>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</si>
  <si>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</si>
  <si>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</si>
  <si>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</si>
  <si>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</si>
  <si>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</si>
  <si>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</si>
  <si>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</si>
  <si>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</si>
  <si>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</si>
  <si>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</si>
  <si>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</si>
  <si>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</si>
  <si>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</si>
  <si>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</si>
  <si>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</si>
  <si>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</si>
  <si>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</si>
  <si>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</si>
  <si>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</si>
  <si>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</si>
  <si>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</si>
  <si>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</si>
  <si>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</si>
  <si>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</si>
  <si>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</si>
  <si>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</si>
  <si>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</si>
  <si>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</si>
  <si>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</si>
  <si>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</si>
  <si>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</si>
  <si>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</si>
  <si>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</si>
  <si>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</si>
  <si>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</si>
  <si>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</si>
  <si>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</si>
  <si>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</si>
  <si>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</si>
  <si>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</si>
  <si>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</si>
  <si>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</si>
  <si>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</si>
  <si>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</si>
  <si>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</si>
  <si>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</si>
  <si>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</si>
  <si>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</si>
  <si>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</si>
  <si>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</si>
  <si>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</si>
  <si>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</si>
  <si>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</si>
  <si>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</si>
  <si>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</si>
  <si>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</si>
  <si>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</si>
  <si>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</si>
  <si>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</si>
  <si>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</si>
  <si>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</si>
  <si>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</si>
  <si>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</si>
  <si>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</si>
  <si>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</si>
  <si>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</si>
  <si>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</si>
  <si>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</si>
  <si>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</si>
  <si>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</si>
  <si>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</si>
  <si>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</si>
  <si>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</si>
  <si>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</si>
  <si>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</si>
  <si>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</si>
  <si>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</si>
  <si>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</si>
  <si>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</si>
  <si>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</si>
  <si>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</si>
  <si>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</si>
  <si>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</si>
  <si>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</si>
  <si>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</si>
  <si>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</si>
  <si>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</si>
  <si>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</si>
  <si>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</si>
  <si>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</si>
  <si>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</si>
  <si>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</si>
  <si>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</si>
  <si>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</si>
  <si>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</si>
  <si>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</si>
  <si>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</si>
  <si>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</si>
  <si>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</si>
  <si>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</si>
  <si>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</si>
  <si>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</si>
  <si>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</si>
  <si>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</si>
  <si>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</si>
  <si>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</si>
  <si>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</si>
  <si>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</si>
  <si>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</si>
  <si>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</si>
  <si>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</si>
  <si>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</si>
  <si>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</si>
  <si>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</si>
  <si>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</si>
  <si>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</si>
  <si>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</si>
  <si>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</si>
  <si>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</si>
  <si>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</si>
  <si>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</si>
  <si>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</si>
  <si>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</si>
  <si>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</si>
  <si>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</si>
  <si>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</si>
  <si>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</si>
  <si>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</si>
  <si>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</si>
  <si>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</si>
  <si>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</si>
  <si>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</si>
  <si>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</si>
  <si>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</si>
  <si>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</si>
  <si>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</si>
  <si>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</si>
  <si>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</si>
  <si>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</si>
  <si>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</si>
  <si>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</si>
  <si>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</si>
  <si>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</si>
  <si>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</si>
  <si>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</si>
  <si>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</si>
  <si>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</si>
  <si>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</si>
  <si>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</si>
  <si>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</si>
  <si>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</si>
  <si>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</si>
  <si>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</si>
  <si>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</si>
  <si>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</si>
  <si>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</si>
  <si>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</si>
  <si>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</si>
  <si>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</si>
  <si>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</si>
  <si>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</si>
  <si>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</si>
  <si>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</si>
  <si>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</si>
  <si>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</si>
  <si>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</si>
  <si>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</si>
  <si>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</si>
  <si>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</si>
  <si>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</si>
  <si>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</si>
  <si>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</si>
  <si>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</si>
  <si>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</si>
  <si>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</si>
  <si>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</si>
  <si>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</si>
  <si>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</si>
  <si>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</si>
  <si>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</si>
  <si>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</si>
  <si>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</si>
  <si>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</si>
  <si>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</si>
  <si>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</si>
  <si>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</si>
  <si>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</si>
  <si>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</si>
  <si>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</si>
  <si>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</si>
  <si>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</si>
  <si>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</si>
  <si>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</si>
  <si>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</si>
  <si>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</si>
  <si>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</si>
  <si>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</si>
  <si>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</si>
  <si>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</si>
  <si>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</si>
  <si>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</si>
  <si>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</si>
  <si>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</si>
  <si>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</si>
  <si>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</si>
  <si>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</si>
  <si>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</si>
  <si>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</si>
  <si>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</si>
  <si>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</si>
  <si>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</si>
  <si>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</si>
  <si>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</si>
  <si>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</si>
  <si>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</si>
  <si>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</si>
  <si>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</si>
  <si>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</si>
  <si>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</si>
  <si>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</si>
  <si>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</si>
  <si>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</si>
  <si>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</si>
  <si>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</si>
  <si>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</si>
  <si>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</si>
  <si>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</si>
  <si>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</si>
  <si>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</si>
  <si>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</si>
  <si>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</si>
  <si>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</si>
  <si>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</si>
  <si>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</si>
  <si>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</si>
  <si>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</si>
  <si>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</si>
  <si>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</si>
  <si>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</si>
  <si>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</si>
  <si>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</si>
  <si>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</si>
  <si>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</si>
  <si>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</si>
  <si>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</si>
  <si>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</si>
  <si>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</si>
  <si>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</si>
  <si>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</si>
  <si>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</si>
  <si>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</si>
  <si>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</si>
  <si>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</si>
  <si>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</si>
  <si>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</si>
  <si>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</si>
  <si>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</si>
  <si>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</si>
  <si>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</si>
  <si>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</si>
  <si>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</si>
  <si>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</si>
  <si>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</si>
  <si>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</si>
  <si>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</si>
  <si>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</si>
  <si>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</si>
  <si>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</si>
  <si>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</si>
  <si>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</si>
  <si>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</si>
  <si>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</si>
  <si>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</si>
  <si>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</si>
  <si>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</si>
  <si>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</si>
  <si>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</si>
  <si>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</si>
  <si>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</si>
  <si>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</si>
  <si>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</si>
  <si>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</si>
  <si>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</si>
  <si>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</si>
  <si>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</si>
  <si>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</si>
  <si>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</si>
  <si>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</si>
  <si>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</si>
  <si>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</si>
  <si>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</si>
  <si>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</si>
  <si>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</si>
  <si>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</si>
  <si>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</si>
  <si>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</si>
  <si>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</si>
  <si>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</si>
  <si>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</si>
  <si>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</si>
  <si>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</si>
  <si>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</si>
  <si>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</si>
  <si>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</si>
  <si>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</si>
  <si>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</si>
  <si>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</si>
  <si>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</si>
  <si>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</si>
  <si>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</si>
  <si>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</si>
  <si>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</si>
  <si>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</si>
  <si>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</si>
  <si>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</si>
  <si>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</si>
  <si>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</si>
  <si>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</si>
  <si>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</si>
  <si>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</si>
  <si>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</si>
  <si>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</si>
  <si>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</si>
  <si>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</si>
  <si>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</si>
  <si>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</si>
  <si>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</si>
  <si>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</si>
  <si>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</si>
  <si>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</si>
  <si>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</si>
  <si>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</si>
  <si>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</si>
  <si>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</si>
  <si>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</si>
  <si>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</si>
  <si>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</si>
  <si>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</si>
  <si>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</si>
  <si>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</si>
  <si>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</si>
  <si>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</si>
  <si>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</si>
  <si>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</si>
  <si>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</si>
  <si>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</si>
  <si>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</si>
  <si>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</si>
  <si>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</si>
  <si>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</si>
  <si>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</si>
  <si>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</si>
  <si>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</si>
  <si>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</si>
  <si>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</si>
  <si>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</si>
  <si>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</si>
  <si>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</si>
  <si>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</si>
  <si>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</si>
  <si>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</si>
  <si>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</si>
  <si>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</si>
  <si>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</si>
  <si>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</si>
  <si>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</si>
  <si>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</si>
  <si>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</si>
  <si>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</si>
  <si>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</si>
  <si>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</si>
  <si>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</si>
  <si>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</si>
  <si>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</si>
  <si>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</si>
  <si>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</si>
  <si>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</si>
  <si>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</si>
  <si>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</si>
  <si>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</si>
  <si>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</si>
  <si>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</si>
  <si>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</si>
  <si>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</si>
  <si>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</si>
  <si>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</si>
  <si>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</si>
  <si>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</si>
  <si>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</si>
  <si>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</si>
  <si>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</si>
  <si>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</si>
  <si>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</si>
  <si>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</si>
  <si>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</si>
  <si>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</si>
  <si>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</si>
  <si>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</si>
  <si>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</si>
  <si>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</si>
  <si>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</si>
  <si>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</si>
  <si>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</si>
  <si>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</si>
  <si>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</si>
  <si>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</si>
  <si>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</si>
  <si>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</si>
  <si>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</si>
  <si>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</si>
  <si>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</si>
  <si>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</si>
  <si>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</si>
  <si>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</si>
  <si>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</si>
  <si>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</si>
  <si>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</si>
  <si>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</si>
  <si>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</si>
  <si>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</si>
  <si>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</si>
  <si>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</si>
  <si>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</si>
  <si>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</si>
  <si>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</si>
  <si>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</si>
  <si>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</si>
  <si>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</si>
  <si>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</si>
  <si>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</si>
  <si>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</si>
  <si>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</si>
  <si>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</si>
  <si>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</si>
  <si>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</si>
  <si>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</si>
  <si>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</si>
  <si>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</si>
  <si>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</si>
  <si>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</si>
  <si>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</si>
  <si>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</si>
  <si>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</si>
  <si>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</si>
  <si>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</si>
  <si>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</si>
  <si>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</si>
  <si>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</si>
  <si>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</si>
  <si>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</si>
  <si>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</si>
  <si>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</si>
  <si>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</si>
  <si>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</si>
  <si>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</si>
  <si>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</si>
  <si>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</si>
  <si>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</si>
  <si>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</si>
  <si>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</si>
  <si>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</si>
  <si>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</si>
  <si>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</si>
  <si>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</si>
  <si>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</si>
  <si>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</si>
  <si>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</si>
  <si>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</si>
  <si>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</si>
  <si>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</si>
  <si>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</si>
  <si>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</si>
  <si>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</si>
  <si>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</si>
  <si>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</si>
  <si>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</si>
  <si>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</si>
  <si>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</si>
  <si>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</si>
  <si>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</si>
  <si>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</si>
  <si>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</si>
  <si>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</si>
  <si>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</si>
  <si>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</si>
  <si>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</si>
  <si>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</si>
  <si>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</si>
  <si>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</si>
  <si>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</si>
  <si>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</si>
  <si>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</si>
  <si>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</si>
  <si>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</si>
  <si>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</si>
  <si>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</si>
  <si>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</si>
  <si>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</si>
  <si>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</si>
  <si>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</si>
  <si>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</si>
  <si>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</si>
  <si>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</si>
  <si>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</si>
  <si>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</si>
  <si>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</si>
  <si>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</si>
  <si>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</si>
  <si>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</si>
  <si>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</si>
  <si>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</si>
  <si>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</si>
  <si>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</si>
  <si>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</si>
  <si>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</si>
  <si>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</si>
  <si>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</si>
  <si>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</si>
  <si>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</si>
  <si>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</si>
  <si>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</si>
  <si>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</si>
  <si>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</si>
  <si>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</si>
  <si>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</si>
  <si>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</si>
  <si>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</si>
  <si>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</si>
  <si>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</si>
  <si>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</si>
  <si>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</si>
  <si>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</si>
  <si>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</si>
  <si>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</si>
  <si>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</si>
  <si>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</si>
  <si>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</si>
  <si>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</si>
  <si>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</si>
  <si>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</si>
  <si>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</si>
  <si>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</si>
  <si>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</si>
  <si>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</si>
  <si>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</si>
  <si>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</si>
  <si>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</si>
  <si>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</si>
  <si>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</si>
  <si>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</si>
  <si>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</si>
  <si>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</si>
  <si>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</si>
  <si>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</si>
  <si>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</si>
  <si>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</si>
  <si>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</si>
  <si>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</si>
  <si>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</si>
  <si>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</si>
  <si>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</si>
  <si>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</si>
  <si>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</si>
  <si>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</si>
  <si>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</si>
  <si>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</si>
  <si>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</si>
  <si>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</si>
  <si>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</si>
  <si>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</si>
  <si>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</si>
  <si>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</si>
  <si>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</si>
  <si>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</si>
  <si>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</si>
  <si>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</si>
  <si>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</si>
  <si>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</si>
  <si>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</si>
  <si>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</si>
  <si>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</si>
  <si>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</si>
  <si>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</si>
  <si>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</si>
  <si>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</si>
  <si>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</si>
  <si>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</si>
  <si>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</si>
  <si>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</si>
  <si>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</si>
  <si>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</si>
  <si>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</si>
  <si>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</si>
  <si>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</si>
  <si>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</si>
  <si>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</si>
  <si>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</si>
  <si>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</si>
  <si>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</si>
  <si>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</si>
  <si>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</si>
  <si>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</si>
  <si>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</si>
  <si>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</si>
  <si>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</si>
  <si>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</si>
  <si>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</si>
  <si>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</si>
  <si>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</si>
  <si>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</si>
  <si>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</si>
  <si>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</si>
  <si>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</si>
  <si>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</si>
  <si>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</si>
  <si>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</si>
  <si>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</si>
  <si>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</si>
  <si>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</si>
  <si>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</si>
  <si>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</si>
  <si>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</si>
  <si>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</si>
  <si>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</si>
  <si>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</si>
  <si>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</si>
  <si>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</si>
  <si>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</si>
  <si>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</si>
  <si>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</si>
  <si>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</si>
  <si>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</si>
  <si>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</si>
  <si>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</si>
  <si>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</si>
  <si>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</si>
  <si>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</si>
  <si>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</si>
  <si>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</si>
  <si>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</si>
  <si>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</si>
  <si>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</si>
  <si>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</si>
  <si>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</si>
  <si>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</si>
  <si>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</si>
  <si>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</si>
  <si>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</si>
  <si>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</si>
  <si>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</si>
  <si>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</si>
  <si>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</si>
  <si>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</si>
  <si>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</si>
  <si>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</si>
  <si>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</si>
  <si>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</si>
  <si>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</si>
  <si>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</si>
  <si>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</si>
  <si>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</si>
  <si>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</si>
  <si>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</si>
  <si>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</si>
  <si>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</si>
  <si>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</si>
  <si>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</si>
  <si>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</si>
  <si>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</si>
  <si>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</si>
  <si>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</si>
  <si>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</si>
  <si>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</si>
  <si>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</si>
  <si>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</si>
  <si>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</si>
  <si>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</si>
  <si>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</si>
  <si>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</si>
  <si>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</si>
  <si>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</si>
  <si>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</si>
  <si>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</si>
  <si>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</si>
  <si>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</si>
  <si>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</si>
  <si>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</si>
  <si>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</si>
  <si>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</si>
  <si>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</si>
  <si>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</si>
  <si>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</si>
  <si>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</si>
  <si>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</si>
  <si>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</si>
  <si>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</si>
  <si>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</si>
  <si>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</si>
  <si>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</si>
  <si>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</si>
  <si>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</si>
  <si>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</si>
  <si>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</si>
  <si>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</si>
  <si>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</si>
  <si>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</si>
  <si>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</si>
  <si>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</si>
  <si>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</si>
  <si>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</si>
  <si>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</si>
  <si>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</si>
  <si>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</si>
  <si>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</si>
  <si>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</si>
  <si>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</si>
  <si>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</si>
  <si>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</si>
  <si>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</si>
  <si>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</si>
  <si>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</si>
  <si>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</si>
  <si>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</si>
  <si>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</si>
  <si>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</si>
  <si>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</si>
  <si>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</si>
  <si>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</si>
  <si>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</si>
  <si>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</si>
  <si>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</si>
  <si>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</si>
  <si>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</si>
  <si>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</si>
  <si>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</si>
  <si>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</si>
  <si>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</si>
  <si>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</si>
  <si>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</si>
  <si>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</si>
  <si>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</si>
  <si>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</si>
  <si>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</si>
  <si>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</si>
  <si>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</si>
  <si>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</si>
  <si>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</si>
  <si>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</si>
  <si>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</si>
  <si>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</si>
  <si>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</si>
  <si>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</si>
  <si>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</si>
  <si>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</si>
  <si>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</si>
  <si>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</si>
  <si>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</si>
  <si>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</si>
  <si>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</si>
  <si>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</si>
  <si>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</si>
  <si>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</si>
  <si>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</si>
  <si>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</si>
  <si>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</si>
  <si>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</si>
  <si>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</si>
  <si>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</si>
  <si>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</si>
  <si>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</si>
  <si>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</si>
  <si>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</si>
  <si>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</si>
  <si>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</si>
  <si>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</si>
  <si>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</si>
  <si>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</si>
  <si>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</si>
  <si>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</si>
  <si>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</si>
  <si>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</si>
  <si>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</si>
  <si>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</si>
  <si>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</si>
  <si>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</si>
  <si>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</si>
  <si>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</si>
  <si>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</si>
  <si>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</si>
  <si>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</si>
  <si>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</si>
  <si>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</si>
  <si>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</si>
  <si>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</si>
  <si>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</si>
  <si>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</si>
  <si>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</si>
  <si>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</si>
  <si>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</si>
  <si>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</si>
  <si>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</si>
  <si>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</si>
  <si>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</si>
  <si>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</si>
  <si>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</si>
  <si>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</si>
  <si>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</si>
  <si>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</si>
  <si>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</si>
  <si>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</si>
  <si>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</si>
  <si>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</si>
  <si>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</si>
  <si>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</si>
  <si>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</si>
  <si>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</si>
  <si>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</si>
  <si>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</si>
  <si>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</si>
  <si>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</si>
  <si>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</si>
  <si>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</si>
  <si>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</si>
  <si>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</si>
  <si>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</si>
  <si>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</si>
  <si>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</si>
  <si>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</si>
  <si>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</si>
  <si>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</si>
  <si>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</si>
  <si>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</si>
  <si>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</si>
  <si>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</si>
  <si>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</si>
  <si>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</si>
  <si>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</si>
  <si>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</si>
  <si>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</si>
  <si>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</si>
  <si>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</si>
  <si>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</si>
  <si>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</si>
  <si>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</si>
  <si>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</si>
  <si>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</si>
  <si>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</si>
  <si>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</si>
  <si>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</si>
  <si>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</si>
  <si>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</si>
  <si>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</si>
  <si>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</si>
  <si>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</si>
  <si>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</si>
  <si>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</si>
  <si>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</si>
  <si>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</si>
  <si>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</si>
  <si>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</si>
  <si>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</si>
  <si>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</si>
  <si>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</si>
  <si>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</si>
  <si>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</si>
  <si>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</si>
  <si>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</si>
  <si>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</si>
  <si>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</si>
  <si>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</si>
  <si>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</si>
  <si>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</si>
  <si>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</si>
  <si>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</si>
  <si>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</si>
  <si>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</si>
  <si>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</si>
  <si>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</si>
  <si>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</si>
  <si>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</si>
  <si>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</si>
  <si>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</si>
  <si>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</si>
  <si>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</si>
  <si>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</si>
  <si>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</si>
  <si>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</si>
  <si>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</si>
  <si>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</si>
  <si>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</si>
  <si>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</si>
  <si>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</si>
  <si>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</si>
  <si>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</si>
  <si>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</si>
  <si>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</si>
  <si>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</si>
  <si>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</si>
  <si>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</si>
  <si>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</si>
  <si>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</si>
  <si>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</si>
  <si>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</si>
  <si>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</si>
  <si>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</si>
  <si>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</si>
  <si>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</si>
  <si>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</si>
  <si>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</si>
  <si>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</si>
  <si>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</si>
  <si>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</si>
  <si>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</si>
  <si>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</si>
  <si>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</si>
  <si>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</si>
  <si>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</si>
  <si>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</si>
  <si>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</si>
  <si>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</si>
  <si>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</si>
  <si>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</si>
  <si>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</si>
  <si>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</si>
  <si>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</si>
  <si>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</si>
  <si>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</si>
  <si>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</si>
  <si>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</si>
  <si>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</si>
  <si>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</si>
  <si>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</si>
  <si>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</si>
  <si>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</si>
  <si>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</si>
  <si>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</si>
  <si>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</si>
  <si>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</si>
  <si>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</si>
  <si>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</si>
  <si>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</si>
  <si>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</si>
  <si>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</si>
  <si>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</si>
  <si>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</si>
  <si>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</si>
  <si>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</si>
  <si>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</si>
  <si>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</si>
  <si>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</si>
  <si>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</si>
  <si>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</si>
  <si>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</si>
  <si>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</si>
  <si>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</si>
  <si>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</si>
  <si>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</si>
  <si>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</si>
  <si>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</si>
  <si>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</si>
  <si>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</si>
  <si>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</si>
  <si>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</si>
  <si>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</si>
  <si>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</si>
  <si>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</si>
  <si>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</si>
  <si>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</si>
  <si>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</si>
  <si>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</si>
  <si>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</si>
  <si>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</si>
  <si>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</si>
  <si>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</si>
  <si>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</si>
  <si>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</si>
  <si>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</si>
  <si>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</si>
  <si>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</si>
  <si>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</si>
  <si>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</si>
  <si>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</si>
  <si>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</si>
  <si>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</si>
  <si>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</si>
  <si>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</si>
  <si>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</si>
  <si>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</si>
  <si>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</si>
  <si>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</si>
  <si>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</si>
  <si>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</si>
  <si>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</si>
  <si>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</si>
  <si>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</si>
  <si>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</si>
  <si>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</si>
  <si>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</si>
  <si>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</si>
  <si>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</si>
  <si>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</si>
  <si>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</si>
  <si>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</si>
  <si>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</si>
  <si>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</si>
  <si>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</si>
  <si>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</si>
  <si>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</si>
  <si>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</si>
  <si>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</si>
  <si>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</si>
  <si>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</si>
  <si>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</si>
  <si>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</si>
  <si>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</si>
  <si>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</si>
  <si>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</si>
  <si>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</si>
  <si>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</si>
  <si>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</si>
  <si>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</si>
  <si>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</si>
  <si>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</si>
  <si>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</si>
  <si>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</si>
  <si>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</si>
  <si>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</si>
  <si>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</si>
  <si>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</si>
  <si>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</si>
  <si>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</si>
  <si>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</si>
  <si>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</si>
  <si>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</si>
  <si>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</si>
  <si>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</si>
  <si>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</si>
  <si>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</si>
  <si>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</si>
  <si>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</si>
  <si>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</si>
  <si>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</si>
  <si>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</si>
  <si>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</si>
  <si>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</si>
  <si>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</si>
  <si>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</si>
  <si>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</si>
  <si>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</si>
  <si>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</si>
  <si>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</si>
  <si>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</si>
  <si>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</si>
  <si>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</si>
  <si>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</si>
  <si>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</si>
  <si>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</si>
  <si>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</si>
  <si>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</si>
  <si>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</si>
  <si>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</si>
  <si>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</si>
  <si>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</si>
  <si>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</si>
  <si>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</si>
  <si>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</si>
  <si>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</si>
  <si>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</si>
  <si>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</si>
  <si>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</si>
  <si>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</si>
  <si>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</si>
  <si>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</si>
  <si>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</si>
  <si>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</si>
  <si>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</si>
  <si>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</si>
  <si>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</si>
  <si>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</si>
  <si>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</si>
  <si>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</si>
  <si>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</si>
  <si>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</si>
  <si>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</si>
  <si>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</si>
  <si>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</si>
  <si>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</si>
  <si>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</si>
  <si>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</si>
  <si>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</si>
  <si>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</si>
  <si>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</si>
  <si>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</si>
  <si>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</si>
  <si>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</si>
  <si>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</si>
  <si>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</si>
  <si>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</si>
  <si>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</si>
  <si>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</si>
  <si>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</si>
  <si>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</si>
  <si>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</si>
  <si>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</si>
  <si>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</si>
  <si>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</si>
  <si>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</si>
  <si>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</si>
  <si>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</si>
  <si>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</si>
  <si>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</si>
  <si>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</si>
  <si>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</si>
  <si>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</si>
  <si>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</si>
  <si>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</si>
  <si>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</si>
  <si>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</si>
  <si>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</si>
  <si>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</si>
  <si>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</si>
  <si>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</si>
  <si>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</si>
  <si>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</si>
  <si>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</si>
  <si>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</si>
  <si>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</si>
  <si>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</si>
  <si>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</si>
  <si>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</si>
  <si>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</si>
  <si>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</si>
  <si>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</si>
  <si>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</si>
  <si>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</si>
  <si>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</si>
  <si>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</si>
  <si>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</si>
  <si>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</si>
  <si>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</si>
  <si>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</si>
  <si>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</si>
  <si>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</si>
  <si>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</si>
  <si>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</si>
  <si>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</si>
  <si>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</si>
  <si>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</si>
  <si>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</si>
  <si>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</si>
  <si>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</si>
  <si>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</si>
  <si>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</si>
  <si>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</si>
  <si>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</si>
  <si>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</si>
  <si>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</si>
  <si>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</si>
  <si>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</si>
  <si>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</si>
  <si>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</si>
  <si>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</si>
  <si>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</si>
  <si>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</si>
  <si>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</si>
  <si>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</si>
  <si>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</si>
  <si>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</si>
  <si>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</si>
  <si>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</si>
  <si>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</si>
  <si>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</si>
  <si>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</si>
  <si>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</si>
  <si>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</si>
  <si>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</si>
  <si>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</si>
  <si>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</si>
  <si>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</si>
  <si>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</si>
  <si>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</si>
  <si>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</si>
  <si>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</si>
  <si>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</si>
  <si>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</si>
  <si>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</si>
  <si>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</si>
  <si>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</si>
  <si>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</si>
  <si>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</si>
  <si>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</si>
  <si>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</si>
  <si>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</si>
  <si>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</si>
  <si>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</si>
  <si>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</si>
  <si>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</si>
  <si>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</si>
  <si>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</si>
  <si>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</si>
  <si>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</si>
  <si>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</si>
  <si>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</si>
  <si>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</si>
  <si>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</si>
  <si>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</si>
  <si>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</si>
  <si>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</si>
  <si>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</si>
  <si>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</si>
  <si>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</si>
  <si>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</si>
  <si>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</si>
  <si>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</si>
  <si>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</si>
  <si>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</si>
  <si>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</si>
  <si>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</si>
  <si>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</si>
  <si>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</si>
  <si>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</si>
  <si>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</si>
  <si>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</si>
  <si>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</si>
  <si>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</si>
  <si>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</si>
  <si>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</si>
  <si>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</si>
  <si>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</si>
  <si>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</si>
  <si>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</si>
  <si>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</si>
  <si>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</si>
  <si>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</si>
  <si>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</si>
  <si>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</si>
  <si>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</si>
  <si>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</si>
  <si>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</si>
  <si>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</si>
  <si>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</si>
  <si>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</si>
  <si>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</si>
  <si>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</si>
  <si>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</si>
  <si>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</si>
  <si>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</si>
  <si>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</si>
  <si>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</si>
  <si>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</si>
  <si>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</si>
  <si>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</si>
  <si>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</si>
  <si>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</si>
  <si>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</si>
  <si>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</si>
  <si>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</si>
  <si>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</si>
  <si>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</si>
  <si>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</si>
  <si>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</si>
  <si>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</si>
  <si>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</si>
  <si>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</si>
  <si>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</si>
  <si>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</si>
  <si>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</si>
  <si>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</si>
  <si>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</si>
  <si>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</si>
  <si>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</si>
  <si>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</si>
  <si>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</si>
  <si>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</si>
  <si>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</si>
  <si>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</si>
  <si>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</si>
  <si>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</si>
  <si>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</si>
  <si>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</si>
  <si>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</si>
  <si>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</si>
  <si>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</si>
  <si>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</si>
  <si>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</si>
  <si>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</si>
  <si>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</si>
  <si>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</si>
  <si>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</si>
  <si>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</si>
  <si>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</si>
  <si>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</si>
  <si>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</si>
  <si>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</si>
  <si>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</si>
  <si>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</si>
  <si>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</si>
  <si>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</si>
  <si>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</si>
  <si>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</si>
  <si>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</si>
  <si>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</si>
  <si>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</si>
  <si>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</si>
  <si>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</si>
  <si>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</si>
  <si>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</si>
  <si>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</si>
  <si>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</si>
  <si>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</si>
  <si>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</si>
  <si>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</si>
  <si>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</si>
  <si>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</si>
  <si>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</si>
  <si>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</si>
  <si>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</si>
  <si>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</si>
  <si>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</si>
  <si>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</si>
  <si>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</si>
  <si>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</si>
  <si>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</si>
  <si>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</si>
  <si>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</si>
  <si>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</si>
  <si>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</si>
  <si>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</si>
  <si>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</si>
  <si>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</si>
  <si>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</si>
  <si>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</si>
  <si>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</si>
  <si>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</si>
  <si>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</si>
  <si>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</si>
  <si>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</si>
  <si>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</si>
  <si>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</si>
  <si>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</si>
  <si>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</si>
  <si>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</si>
  <si>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</si>
  <si>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</si>
  <si>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</si>
  <si>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</si>
  <si>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</si>
  <si>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</si>
  <si>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</si>
  <si>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</si>
  <si>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</si>
  <si>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</si>
  <si>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</si>
  <si>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</si>
  <si>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</si>
  <si>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</si>
  <si>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</si>
  <si>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</si>
  <si>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</si>
  <si>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</si>
  <si>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</si>
  <si>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</si>
  <si>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</si>
  <si>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</si>
  <si>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</si>
  <si>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</si>
  <si>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</si>
  <si>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</si>
  <si>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</si>
  <si>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</si>
  <si>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</si>
  <si>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</si>
  <si>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</si>
  <si>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</si>
  <si>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</si>
  <si>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</si>
  <si>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</si>
  <si>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</si>
  <si>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</si>
  <si>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</si>
  <si>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</si>
  <si>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</si>
  <si>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</si>
  <si>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</si>
  <si>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</si>
  <si>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</si>
  <si>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</si>
  <si>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</si>
  <si>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</si>
  <si>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</si>
  <si>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</si>
  <si>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</si>
  <si>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</si>
  <si>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</si>
  <si>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</si>
  <si>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</si>
  <si>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</si>
  <si>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</si>
  <si>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</si>
  <si>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</si>
  <si>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</si>
  <si>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</si>
  <si>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</si>
  <si>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</si>
  <si>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</si>
  <si>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</si>
  <si>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</si>
  <si>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</si>
  <si>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</si>
  <si>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</si>
  <si>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</si>
  <si>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</si>
  <si>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</si>
  <si>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</si>
  <si>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</si>
  <si>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</si>
  <si>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</si>
  <si>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</si>
  <si>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</si>
  <si>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</si>
  <si>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</si>
  <si>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</si>
  <si>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</si>
  <si>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</si>
  <si>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</si>
  <si>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</si>
  <si>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</si>
  <si>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</si>
  <si>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</si>
  <si>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</si>
  <si>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</si>
  <si>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</si>
  <si>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</si>
  <si>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</si>
  <si>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</si>
  <si>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</si>
  <si>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</si>
  <si>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</si>
  <si>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</si>
  <si>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</si>
  <si>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</si>
  <si>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</si>
  <si>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</si>
  <si>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</si>
  <si>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</si>
  <si>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</si>
  <si>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</si>
  <si>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</si>
  <si>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</si>
  <si>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</si>
  <si>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</si>
  <si>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</si>
  <si>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</si>
  <si>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</si>
  <si>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</si>
  <si>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</si>
  <si>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</si>
  <si>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</si>
  <si>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</si>
  <si>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</si>
  <si>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</si>
  <si>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</si>
  <si>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</si>
  <si>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</si>
  <si>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</si>
  <si>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</si>
  <si>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</si>
  <si>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</si>
  <si>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</si>
  <si>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</si>
  <si>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</si>
  <si>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</si>
  <si>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</si>
  <si>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</si>
  <si>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</si>
  <si>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</si>
  <si>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</si>
  <si>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</si>
  <si>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</si>
  <si>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</si>
  <si>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</si>
  <si>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</si>
  <si>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</si>
  <si>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</si>
  <si>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</si>
  <si>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</si>
  <si>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</si>
  <si>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</si>
  <si>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</si>
  <si>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</si>
  <si>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</si>
  <si>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</si>
  <si>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</si>
  <si>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</si>
  <si>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</si>
  <si>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</si>
  <si>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</si>
  <si>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</si>
  <si>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</si>
  <si>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</si>
  <si>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</si>
  <si>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</si>
  <si>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</si>
  <si>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</si>
  <si>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</si>
  <si>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</si>
  <si>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</si>
  <si>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</si>
  <si>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</si>
  <si>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</si>
  <si>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</si>
  <si>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</si>
  <si>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</si>
  <si>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</si>
  <si>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</si>
  <si>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</si>
  <si>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</si>
  <si>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</si>
  <si>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</si>
  <si>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</si>
  <si>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</si>
  <si>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</si>
  <si>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</si>
  <si>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</si>
  <si>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</si>
  <si>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</si>
  <si>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</si>
  <si>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</si>
  <si>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</si>
  <si>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</si>
  <si>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</si>
  <si>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</si>
  <si>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</si>
  <si>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</si>
  <si>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</si>
  <si>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</si>
  <si>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</si>
  <si>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</si>
  <si>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</si>
  <si>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</si>
  <si>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</si>
  <si>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</si>
  <si>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</si>
  <si>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</si>
  <si>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</si>
  <si>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</si>
  <si>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</si>
  <si>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</si>
  <si>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</si>
  <si>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</si>
  <si>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</si>
  <si>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</si>
  <si>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</si>
  <si>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</si>
  <si>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</si>
  <si>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</si>
  <si>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</si>
  <si>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</si>
  <si>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</si>
  <si>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</si>
  <si>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</si>
  <si>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</si>
  <si>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</si>
  <si>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</si>
  <si>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</si>
  <si>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</si>
  <si>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</si>
  <si>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</si>
  <si>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</si>
  <si>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</si>
  <si>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</si>
  <si>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</si>
  <si>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</si>
  <si>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</si>
  <si>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</si>
  <si>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</si>
  <si>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</si>
  <si>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</si>
  <si>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</si>
  <si>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</si>
  <si>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</si>
  <si>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</si>
  <si>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</si>
  <si>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</si>
  <si>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</si>
  <si>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</si>
  <si>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</si>
  <si>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</si>
  <si>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</si>
  <si>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</si>
  <si>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</si>
  <si>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</si>
  <si>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</si>
  <si>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</si>
  <si>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</si>
  <si>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</si>
  <si>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</si>
  <si>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</si>
  <si>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</si>
  <si>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</si>
  <si>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</si>
  <si>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</si>
  <si>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</si>
  <si>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</si>
  <si>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</si>
  <si>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</si>
  <si>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</si>
  <si>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</si>
  <si>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</si>
  <si>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</si>
  <si>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</si>
  <si>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</si>
  <si>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</si>
  <si>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</si>
  <si>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</si>
  <si>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</si>
  <si>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</si>
  <si>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</si>
  <si>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</si>
  <si>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</si>
  <si>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</si>
  <si>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</si>
  <si>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</si>
  <si>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</si>
  <si>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</si>
  <si>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</si>
  <si>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</si>
  <si>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</si>
  <si>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</si>
  <si>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</si>
  <si>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</si>
  <si>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</si>
  <si>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</si>
  <si>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</si>
  <si>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</si>
  <si>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</si>
  <si>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</si>
  <si>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</si>
  <si>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</si>
  <si>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</si>
  <si>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</si>
  <si>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</si>
  <si>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</si>
  <si>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</si>
  <si>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</si>
  <si>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</si>
  <si>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</si>
  <si>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</si>
  <si>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</si>
  <si>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</si>
  <si>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</si>
  <si>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</si>
  <si>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</si>
  <si>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</si>
  <si>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</si>
  <si>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</si>
  <si>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</si>
  <si>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</si>
  <si>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</si>
  <si>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</si>
  <si>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</si>
  <si>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</si>
  <si>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</si>
  <si>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</si>
  <si>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</si>
  <si>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</si>
  <si>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</si>
  <si>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</si>
  <si>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</si>
  <si>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</si>
  <si>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</si>
  <si>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</si>
  <si>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</si>
  <si>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</si>
  <si>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</si>
  <si>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</si>
  <si>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</si>
  <si>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</si>
  <si>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</si>
  <si>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</si>
  <si>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</si>
  <si>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</si>
  <si>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</si>
  <si>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</si>
  <si>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</si>
  <si>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</si>
  <si>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</si>
  <si>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</si>
  <si>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</si>
  <si>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</si>
  <si>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</si>
  <si>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</si>
  <si>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</si>
  <si>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</si>
  <si>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</si>
  <si>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</si>
  <si>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</si>
  <si>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</si>
  <si>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</si>
  <si>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</si>
  <si>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</si>
  <si>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</si>
  <si>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</si>
  <si>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</si>
  <si>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</si>
  <si>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</si>
  <si>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</si>
  <si>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</si>
  <si>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</si>
  <si>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</si>
  <si>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</si>
  <si>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</si>
  <si>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</si>
  <si>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</si>
  <si>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</si>
  <si>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</si>
  <si>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</si>
  <si>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</si>
  <si>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</si>
  <si>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</si>
  <si>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</si>
  <si>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</si>
  <si>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</si>
  <si>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</si>
  <si>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</si>
  <si>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</si>
  <si>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</si>
  <si>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</si>
  <si>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</si>
  <si>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</si>
  <si>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</si>
  <si>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</si>
  <si>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</si>
  <si>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</si>
  <si>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</si>
  <si>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</si>
  <si>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</si>
  <si>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</si>
  <si>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</si>
  <si>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</si>
  <si>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</si>
  <si>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</si>
  <si>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</si>
  <si>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</si>
  <si>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</si>
  <si>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</si>
  <si>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</si>
  <si>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</si>
  <si>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</si>
  <si>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</si>
  <si>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</si>
  <si>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</si>
  <si>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</si>
  <si>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</si>
  <si>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</si>
  <si>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</si>
  <si>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</si>
  <si>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</si>
  <si>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</si>
  <si>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</si>
  <si>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</si>
  <si>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</si>
  <si>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</si>
  <si>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</si>
  <si>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</si>
  <si>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</si>
  <si>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</si>
  <si>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</si>
  <si>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</si>
  <si>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</si>
  <si>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</si>
  <si>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</si>
  <si>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</si>
  <si>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</si>
  <si>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</si>
  <si>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</si>
  <si>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</si>
  <si>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</si>
  <si>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</si>
  <si>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</si>
  <si>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</si>
  <si>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</si>
  <si>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</si>
  <si>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</si>
  <si>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</si>
  <si>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</si>
  <si>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</si>
  <si>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</si>
  <si>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</si>
  <si>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</si>
  <si>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</si>
  <si>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</si>
  <si>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</si>
  <si>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</si>
  <si>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</si>
  <si>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</si>
  <si>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</si>
  <si>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</si>
  <si>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</si>
  <si>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</si>
  <si>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</si>
  <si>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</si>
  <si>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</si>
  <si>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</si>
  <si>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</si>
  <si>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</si>
  <si>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</si>
  <si>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</si>
  <si>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</si>
  <si>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</si>
  <si>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</si>
  <si>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</si>
  <si>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</si>
  <si>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</si>
  <si>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</si>
  <si>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</si>
  <si>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</si>
  <si>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</si>
  <si>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</si>
  <si>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</si>
  <si>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</si>
  <si>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</si>
  <si>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</si>
  <si>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</si>
  <si>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</si>
  <si>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</si>
  <si>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</si>
  <si>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</si>
  <si>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</si>
  <si>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</si>
  <si>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</si>
  <si>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</si>
  <si>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</si>
  <si>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</si>
  <si>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</si>
  <si>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</si>
  <si>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</si>
  <si>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</si>
  <si>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</si>
  <si>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</si>
  <si>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</si>
  <si>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</si>
  <si>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</si>
  <si>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</si>
  <si>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</si>
  <si>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</si>
  <si>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</si>
  <si>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</si>
  <si>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</si>
  <si>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</si>
  <si>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</si>
  <si>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</si>
  <si>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</si>
  <si>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</si>
  <si>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</si>
  <si>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</si>
  <si>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</si>
  <si>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</si>
  <si>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</si>
  <si>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</si>
  <si>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</si>
  <si>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</si>
  <si>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</si>
  <si>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</si>
  <si>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</si>
  <si>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</si>
  <si>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</si>
  <si>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</si>
  <si>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</si>
  <si>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</si>
  <si>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</si>
  <si>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</si>
  <si>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</si>
  <si>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</si>
  <si>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</si>
  <si>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</si>
  <si>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</si>
  <si>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</si>
  <si>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</si>
  <si>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</si>
  <si>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</si>
  <si>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</si>
  <si>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</si>
  <si>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</si>
  <si>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</si>
  <si>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</si>
  <si>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</si>
  <si>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</si>
  <si>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</si>
  <si>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</si>
  <si>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</si>
  <si>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</si>
  <si>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</si>
  <si>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</si>
  <si>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</si>
  <si>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</si>
  <si>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</si>
  <si>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</si>
  <si>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</si>
  <si>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</si>
  <si>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</si>
  <si>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</si>
  <si>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</si>
  <si>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</si>
  <si>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</si>
  <si>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</si>
  <si>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</si>
  <si>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</si>
  <si>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</si>
  <si>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</si>
  <si>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</si>
  <si>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</si>
  <si>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</si>
  <si>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</si>
  <si>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</si>
  <si>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</si>
  <si>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</si>
  <si>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</si>
  <si>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</si>
  <si>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</si>
  <si>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</si>
  <si>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</si>
  <si>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</si>
  <si>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</si>
  <si>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</si>
  <si>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</si>
  <si>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</si>
  <si>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</si>
  <si>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</si>
  <si>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</si>
  <si>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</si>
  <si>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</si>
  <si>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</si>
  <si>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</si>
  <si>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</si>
  <si>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</si>
  <si>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</si>
  <si>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</si>
  <si>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</si>
  <si>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</si>
  <si>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</si>
  <si>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</si>
  <si>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</si>
  <si>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</si>
  <si>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</si>
  <si>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</si>
  <si>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</si>
  <si>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</si>
  <si>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</si>
  <si>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</si>
  <si>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</si>
  <si>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</si>
  <si>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</si>
  <si>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</si>
  <si>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</si>
  <si>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</si>
  <si>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</si>
  <si>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</si>
  <si>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</si>
  <si>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</si>
  <si>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</si>
  <si>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</si>
  <si>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</si>
  <si>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</si>
  <si>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</si>
  <si>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</si>
  <si>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</si>
  <si>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</si>
  <si>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</si>
  <si>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</si>
  <si>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</si>
  <si>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</si>
  <si>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</si>
  <si>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</si>
  <si>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</si>
  <si>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</si>
  <si>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</si>
  <si>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</si>
  <si>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</si>
  <si>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</si>
  <si>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</si>
  <si>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</si>
  <si>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</si>
  <si>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</si>
  <si>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</si>
  <si>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</si>
  <si>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</si>
  <si>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</si>
  <si>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</si>
  <si>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</si>
  <si>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</si>
  <si>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</si>
  <si>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</si>
  <si>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</si>
  <si>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</si>
  <si>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</si>
  <si>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</si>
  <si>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</si>
  <si>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</si>
  <si>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</si>
  <si>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</si>
  <si>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</si>
  <si>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</si>
  <si>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</si>
  <si>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</si>
  <si>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</si>
  <si>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</si>
  <si>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</si>
  <si>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</si>
  <si>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</si>
  <si>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</si>
  <si>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</si>
  <si>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</si>
  <si>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</si>
  <si>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</si>
  <si>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</si>
  <si>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</si>
  <si>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</si>
  <si>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</si>
  <si>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</si>
  <si>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</si>
  <si>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</si>
  <si>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</si>
  <si>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</si>
  <si>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</si>
  <si>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</si>
  <si>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</si>
  <si>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</si>
  <si>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</si>
  <si>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</si>
  <si>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</si>
  <si>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</si>
  <si>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</si>
  <si>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</si>
  <si>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</si>
  <si>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</si>
  <si>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</si>
  <si>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</si>
  <si>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</si>
  <si>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</si>
  <si>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</si>
  <si>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</si>
  <si>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</si>
  <si>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</si>
  <si>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</si>
  <si>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</si>
  <si>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</si>
  <si>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</si>
  <si>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</si>
  <si>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</si>
  <si>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</si>
  <si>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</si>
  <si>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</si>
  <si>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</si>
  <si>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</si>
  <si>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</si>
  <si>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</si>
  <si>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</si>
  <si>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</si>
  <si>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</si>
  <si>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</si>
  <si>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</si>
  <si>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</si>
  <si>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</si>
  <si>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</si>
  <si>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</si>
  <si>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</si>
  <si>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</si>
  <si>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</si>
  <si>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</si>
  <si>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</si>
  <si>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</si>
  <si>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</si>
  <si>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</si>
  <si>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</si>
  <si>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</si>
  <si>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</si>
  <si>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</si>
  <si>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</si>
  <si>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</si>
  <si>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</si>
  <si>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</si>
  <si>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</si>
  <si>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</si>
  <si>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</si>
  <si>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</si>
  <si>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</si>
  <si>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</si>
  <si>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</si>
  <si>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</si>
  <si>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</si>
  <si>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</si>
  <si>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</si>
  <si>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</si>
  <si>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</si>
  <si>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</si>
  <si>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</si>
  <si>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</si>
  <si>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</si>
  <si>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</si>
  <si>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</si>
  <si>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</si>
  <si>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</si>
  <si>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</si>
  <si>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</si>
  <si>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</si>
  <si>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</si>
  <si>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</si>
  <si>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</si>
  <si>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</si>
  <si>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</si>
  <si>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</si>
  <si>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</si>
  <si>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</si>
  <si>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</si>
  <si>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</si>
  <si>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</si>
  <si>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</si>
  <si>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</si>
  <si>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</si>
  <si>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</si>
  <si>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</si>
  <si>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</si>
  <si>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</si>
  <si>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</si>
  <si>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</si>
  <si>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</si>
  <si>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</si>
  <si>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</si>
  <si>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</si>
  <si>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</si>
  <si>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</si>
  <si>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</si>
  <si>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</si>
  <si>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</si>
  <si>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</si>
  <si>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</si>
  <si>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</si>
  <si>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</si>
  <si>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</si>
  <si>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</si>
  <si>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</si>
  <si>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</si>
  <si>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</si>
  <si>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</si>
  <si>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</si>
  <si>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</si>
  <si>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</si>
  <si>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</si>
  <si>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</si>
  <si>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</si>
  <si>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</si>
  <si>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</si>
  <si>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</si>
  <si>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</si>
  <si>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</si>
  <si>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</si>
  <si>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</si>
  <si>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</si>
  <si>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</si>
  <si>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</si>
  <si>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</si>
  <si>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</si>
  <si>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</si>
  <si>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</si>
  <si>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</si>
  <si>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</si>
  <si>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</si>
  <si>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</si>
  <si>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</si>
  <si>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</si>
  <si>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</si>
  <si>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</si>
  <si>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</si>
  <si>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</si>
  <si>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</si>
  <si>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</si>
  <si>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</si>
  <si>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</si>
  <si>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</si>
  <si>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</si>
  <si>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</si>
  <si>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</si>
  <si>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</si>
  <si>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</si>
  <si>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</si>
  <si>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</si>
  <si>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</si>
  <si>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</si>
  <si>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</si>
  <si>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</si>
  <si>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</si>
  <si>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</si>
  <si>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</si>
  <si>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</si>
  <si>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</si>
  <si>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</si>
  <si>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</si>
  <si>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</si>
  <si>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</si>
  <si>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</si>
  <si>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</si>
  <si>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</si>
  <si>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</si>
  <si>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</si>
  <si>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</si>
  <si>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</si>
  <si>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</si>
  <si>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</si>
  <si>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</si>
  <si>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</si>
  <si>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</si>
  <si>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</si>
  <si>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</si>
  <si>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</si>
  <si>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</si>
  <si>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</si>
  <si>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</si>
  <si>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</si>
  <si>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</si>
  <si>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</si>
  <si>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</si>
  <si>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</si>
  <si>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</si>
  <si>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</si>
  <si>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</si>
  <si>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</si>
  <si>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</si>
  <si>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</si>
  <si>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</si>
  <si>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</si>
  <si>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</si>
  <si>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</si>
  <si>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</si>
  <si>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</si>
  <si>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</si>
  <si>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</si>
  <si>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</si>
  <si>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</si>
  <si>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</si>
  <si>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</si>
  <si>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</si>
  <si>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</si>
  <si>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</si>
  <si>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</si>
  <si>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</si>
  <si>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</si>
  <si>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</si>
  <si>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</si>
  <si>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</si>
  <si>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</si>
  <si>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</si>
  <si>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</si>
  <si>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</si>
  <si>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</si>
  <si>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</si>
  <si>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</si>
  <si>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</si>
  <si>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</si>
  <si>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</si>
  <si>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</si>
  <si>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</si>
  <si>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</si>
  <si>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</si>
  <si>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</si>
  <si>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</si>
  <si>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</si>
  <si>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</si>
  <si>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</si>
  <si>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</si>
  <si>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</si>
  <si>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</si>
  <si>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</si>
  <si>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</si>
  <si>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</si>
  <si>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</si>
  <si>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</si>
  <si>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</si>
  <si>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</si>
  <si>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</si>
  <si>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</si>
  <si>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</si>
  <si>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</si>
  <si>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</si>
  <si>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</si>
  <si>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</si>
  <si>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</si>
  <si>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</si>
  <si>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</si>
  <si>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</si>
  <si>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</si>
  <si>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</si>
  <si>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</si>
  <si>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</si>
  <si>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</si>
  <si>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</si>
  <si>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</si>
  <si>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</si>
  <si>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</si>
  <si>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</si>
  <si>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</si>
  <si>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</si>
  <si>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</si>
  <si>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</si>
  <si>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</si>
  <si>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</si>
  <si>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</si>
  <si>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</si>
  <si>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</si>
  <si>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</si>
  <si>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</si>
  <si>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</si>
  <si>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</si>
  <si>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</si>
  <si>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</si>
  <si>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</si>
  <si>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</si>
  <si>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</si>
  <si>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</si>
  <si>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</si>
  <si>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</si>
  <si>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</si>
  <si>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</si>
  <si>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</si>
  <si>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</si>
  <si>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</si>
  <si>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</si>
  <si>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</si>
  <si>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</si>
  <si>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</si>
  <si>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</si>
  <si>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</si>
  <si>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</si>
  <si>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</si>
  <si>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</si>
  <si>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</si>
  <si>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</si>
  <si>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</si>
  <si>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</si>
  <si>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</si>
  <si>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</si>
  <si>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</si>
  <si>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</si>
  <si>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</si>
  <si>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</si>
  <si>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</si>
  <si>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</si>
  <si>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</si>
  <si>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</si>
  <si>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</si>
  <si>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</si>
  <si>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</si>
  <si>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</si>
  <si>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</si>
  <si>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</si>
  <si>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</si>
  <si>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</si>
  <si>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</si>
  <si>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</si>
  <si>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</si>
  <si>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</si>
  <si>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</si>
  <si>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</si>
  <si>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</si>
  <si>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</si>
  <si>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</si>
  <si>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</si>
  <si>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</si>
  <si>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</si>
  <si>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</si>
  <si>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</si>
  <si>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</si>
  <si>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</si>
  <si>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</si>
  <si>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</si>
  <si>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</si>
  <si>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</si>
  <si>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</si>
  <si>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</si>
  <si>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</si>
  <si>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</si>
  <si>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</si>
  <si>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</si>
  <si>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</si>
  <si>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</si>
  <si>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</si>
  <si>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</si>
  <si>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</si>
  <si>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</si>
  <si>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</si>
  <si>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</si>
  <si>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</si>
  <si>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</si>
  <si>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</si>
  <si>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</si>
  <si>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</si>
  <si>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</si>
  <si>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</si>
  <si>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</si>
  <si>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</si>
  <si>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</si>
  <si>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</si>
  <si>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</si>
  <si>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</si>
  <si>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</si>
  <si>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</si>
  <si>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</si>
  <si>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</si>
  <si>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</si>
  <si>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</si>
  <si>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</si>
  <si>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</si>
  <si>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</si>
  <si>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</si>
  <si>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</si>
  <si>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</si>
  <si>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</si>
  <si>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</si>
  <si>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</si>
  <si>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</si>
  <si>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</si>
  <si>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</si>
  <si>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</si>
  <si>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</si>
  <si>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</si>
  <si>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</si>
  <si>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</si>
  <si>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</si>
  <si>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</si>
  <si>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</si>
  <si>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</si>
  <si>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</si>
  <si>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</si>
  <si>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</si>
  <si>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</si>
  <si>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</si>
  <si>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</si>
  <si>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</si>
  <si>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</si>
  <si>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</si>
  <si>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</si>
  <si>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</si>
  <si>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</si>
  <si>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</si>
  <si>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</si>
  <si>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</si>
  <si>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</si>
  <si>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</si>
  <si>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</si>
  <si>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</si>
  <si>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</si>
  <si>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</si>
  <si>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</si>
  <si>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</si>
  <si>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</si>
  <si>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</si>
  <si>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</si>
  <si>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</si>
  <si>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</si>
  <si>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</si>
  <si>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</si>
  <si>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</si>
  <si>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</si>
  <si>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</si>
  <si>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</si>
  <si>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</si>
  <si>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</si>
  <si>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</si>
  <si>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</si>
  <si>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</si>
  <si>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</si>
  <si>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</si>
  <si>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</si>
  <si>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</si>
  <si>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</si>
  <si>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</si>
  <si>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</si>
  <si>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</si>
  <si>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</si>
  <si>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</si>
  <si>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</si>
  <si>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</si>
  <si>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</si>
  <si>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</si>
  <si>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</si>
  <si>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</si>
  <si>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</si>
  <si>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</si>
  <si>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</si>
  <si>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</si>
  <si>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</si>
  <si>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</si>
  <si>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</si>
  <si>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</si>
  <si>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</si>
  <si>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</si>
  <si>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</si>
  <si>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</si>
  <si>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</si>
  <si>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</si>
  <si>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</si>
  <si>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</si>
  <si>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</si>
  <si>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</si>
  <si>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</si>
  <si>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</si>
  <si>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</si>
  <si>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</si>
  <si>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</si>
  <si>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</si>
  <si>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</si>
  <si>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</si>
  <si>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</si>
  <si>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</si>
  <si>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</si>
  <si>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</si>
  <si>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</si>
  <si>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</si>
  <si>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</si>
  <si>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</si>
  <si>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</si>
  <si>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</si>
  <si>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</si>
  <si>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</si>
  <si>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</si>
  <si>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</si>
  <si>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</si>
  <si>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</si>
  <si>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</si>
  <si>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</si>
  <si>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</si>
  <si>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</si>
  <si>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</si>
  <si>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</si>
  <si>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</si>
  <si>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</si>
  <si>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</si>
  <si>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</si>
  <si>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</si>
  <si>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</si>
  <si>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</si>
  <si>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</si>
  <si>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</si>
  <si>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</si>
  <si>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</si>
  <si>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</si>
  <si>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</si>
  <si>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</si>
  <si>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</si>
  <si>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</si>
  <si>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</si>
  <si>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</si>
  <si>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</si>
  <si>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</si>
  <si>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</si>
  <si>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</si>
  <si>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</si>
  <si>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</si>
  <si>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</si>
  <si>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</si>
  <si>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</si>
  <si>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</si>
  <si>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</si>
  <si>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</si>
  <si>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</si>
  <si>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</si>
  <si>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</si>
  <si>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</si>
  <si>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</si>
  <si>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</si>
  <si>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</si>
  <si>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</si>
  <si>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</si>
  <si>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</si>
  <si>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</si>
  <si>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</si>
  <si>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</si>
  <si>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</si>
  <si>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</si>
  <si>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</si>
  <si>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</si>
  <si>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</si>
  <si>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</si>
  <si>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</si>
  <si>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</si>
  <si>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</si>
  <si>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</si>
  <si>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</si>
  <si>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</si>
  <si>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</si>
  <si>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</si>
  <si>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</si>
  <si>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</si>
  <si>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</si>
  <si>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</si>
  <si>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</si>
  <si>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</si>
  <si>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</si>
  <si>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</si>
  <si>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</si>
  <si>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</si>
  <si>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</si>
  <si>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</si>
  <si>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</si>
  <si>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</si>
  <si>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</si>
  <si>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</si>
  <si>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</si>
  <si>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</si>
  <si>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</si>
  <si>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</si>
  <si>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</si>
  <si>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</si>
  <si>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</si>
  <si>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</si>
  <si>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</si>
  <si>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</si>
  <si>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</si>
  <si>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</si>
  <si>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</si>
  <si>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</si>
  <si>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</si>
  <si>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</si>
  <si>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</si>
  <si>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</si>
  <si>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</si>
  <si>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</si>
  <si>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</si>
  <si>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</si>
  <si>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</si>
  <si>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</si>
  <si>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</si>
  <si>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</si>
  <si>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</si>
  <si>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</si>
  <si>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</si>
  <si>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</si>
  <si>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</si>
  <si>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</si>
  <si>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</si>
  <si>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</si>
  <si>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</si>
  <si>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</si>
  <si>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</si>
  <si>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</si>
  <si>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</si>
  <si>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</si>
  <si>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</si>
  <si>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</si>
  <si>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</si>
  <si>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</si>
  <si>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</si>
  <si>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</si>
  <si>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</si>
  <si>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</si>
  <si>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</si>
  <si>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</si>
  <si>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</si>
  <si>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</si>
  <si>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</si>
  <si>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</si>
  <si>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</si>
  <si>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</si>
  <si>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</si>
  <si>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</si>
  <si>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</si>
  <si>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</si>
  <si>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</si>
  <si>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</si>
  <si>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</si>
  <si>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</si>
  <si>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</si>
  <si>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</si>
  <si>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</si>
  <si>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</si>
  <si>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</si>
  <si>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</si>
  <si>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</si>
  <si>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</si>
  <si>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</si>
  <si>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</si>
  <si>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</si>
  <si>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</si>
  <si>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</si>
  <si>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</si>
  <si>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</si>
  <si>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</si>
  <si>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</si>
  <si>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</si>
  <si>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</si>
  <si>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</si>
  <si>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</si>
  <si>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</si>
  <si>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</si>
  <si>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</si>
  <si>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</si>
  <si>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</si>
  <si>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</si>
  <si>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</si>
  <si>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</si>
  <si>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</si>
  <si>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</si>
  <si>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</si>
  <si>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</si>
  <si>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</si>
  <si>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</si>
  <si>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</si>
  <si>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</si>
  <si>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</si>
  <si>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</si>
  <si>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</si>
  <si>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</si>
  <si>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</si>
  <si>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</si>
  <si>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</si>
  <si>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</si>
  <si>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</si>
  <si>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</si>
  <si>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</si>
  <si>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</si>
  <si>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</si>
  <si>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</si>
  <si>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</si>
  <si>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</si>
  <si>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</si>
  <si>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</si>
  <si>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</si>
  <si>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</si>
  <si>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</si>
  <si>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</si>
  <si>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</si>
  <si>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</si>
  <si>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</si>
  <si>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</si>
  <si>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</si>
  <si>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</si>
  <si>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</si>
  <si>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</si>
  <si>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</si>
  <si>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</si>
  <si>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</si>
  <si>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</si>
  <si>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</si>
  <si>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</si>
  <si>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</si>
  <si>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</si>
  <si>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</si>
  <si>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</si>
  <si>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</si>
  <si>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</si>
  <si>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</si>
  <si>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</si>
  <si>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</si>
  <si>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</si>
  <si>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</si>
  <si>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</si>
  <si>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</si>
  <si>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</si>
  <si>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</si>
  <si>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</si>
  <si>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</si>
  <si>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</si>
  <si>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</si>
  <si>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</si>
  <si>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</si>
  <si>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</si>
  <si>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</si>
  <si>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</si>
  <si>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</si>
  <si>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</si>
  <si>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</si>
  <si>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</si>
  <si>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</si>
  <si>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</si>
  <si>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</si>
  <si>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</si>
  <si>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</si>
  <si>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</si>
  <si>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</si>
  <si>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</si>
  <si>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</si>
  <si>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</si>
  <si>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</si>
  <si>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</si>
  <si>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</si>
  <si>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</si>
  <si>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</si>
  <si>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</si>
  <si>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</si>
  <si>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</si>
  <si>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</si>
  <si>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</si>
  <si>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</si>
  <si>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</si>
  <si>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</si>
  <si>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</si>
  <si>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</si>
  <si>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</si>
  <si>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</si>
  <si>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</si>
  <si>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</si>
  <si>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</si>
  <si>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</si>
  <si>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</si>
  <si>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</si>
  <si>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</si>
  <si>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</si>
  <si>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</si>
  <si>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</si>
  <si>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</si>
  <si>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</si>
  <si>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</si>
  <si>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</si>
  <si>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</si>
  <si>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</si>
  <si>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</si>
  <si>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</si>
  <si>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</si>
  <si>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</si>
  <si>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</si>
  <si>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</si>
  <si>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</si>
  <si>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</si>
  <si>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</si>
  <si>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</si>
  <si>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</si>
  <si>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</si>
  <si>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</si>
  <si>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</si>
  <si>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</si>
  <si>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</si>
  <si>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</si>
  <si>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</si>
  <si>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</si>
  <si>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</si>
  <si>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</si>
  <si>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</si>
  <si>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</si>
  <si>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</si>
  <si>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</si>
  <si>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</si>
  <si>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</si>
  <si>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</si>
  <si>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</si>
  <si>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</si>
  <si>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</si>
  <si>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</si>
  <si>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</si>
  <si>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</si>
  <si>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</si>
  <si>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</si>
  <si>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</si>
  <si>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</si>
  <si>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</si>
  <si>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</si>
  <si>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</si>
  <si>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</si>
  <si>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</si>
  <si>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</si>
  <si>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</si>
  <si>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</si>
  <si>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</si>
  <si>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</si>
  <si>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</si>
  <si>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</si>
  <si>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</si>
  <si>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</si>
  <si>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</si>
  <si>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</si>
  <si>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</si>
  <si>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</si>
  <si>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</si>
  <si>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</si>
  <si>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</si>
  <si>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</si>
  <si>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</si>
  <si>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</si>
  <si>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</si>
  <si>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</si>
  <si>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</si>
  <si>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</si>
  <si>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</si>
  <si>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</si>
  <si>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</si>
  <si>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</si>
  <si>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</si>
  <si>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</si>
  <si>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</si>
  <si>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</si>
  <si>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</si>
  <si>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</si>
  <si>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</si>
  <si>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</si>
  <si>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</si>
  <si>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</si>
  <si>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</si>
  <si>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</si>
  <si>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</si>
  <si>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</si>
  <si>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</si>
  <si>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</si>
  <si>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</si>
  <si>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</si>
  <si>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</si>
  <si>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</si>
  <si>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</si>
  <si>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</si>
  <si>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</si>
  <si>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</si>
  <si>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</si>
  <si>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</si>
  <si>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</si>
  <si>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</si>
  <si>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</si>
  <si>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</si>
  <si>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</si>
  <si>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</si>
  <si>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</si>
  <si>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</si>
  <si>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</si>
  <si>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</si>
  <si>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</si>
  <si>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</si>
  <si>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</si>
  <si>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</si>
  <si>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</si>
  <si>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</si>
  <si>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</si>
  <si>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</si>
  <si>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</si>
  <si>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</si>
  <si>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</si>
  <si>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</si>
  <si>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</si>
  <si>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</si>
  <si>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</si>
  <si>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</si>
  <si>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</si>
  <si>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</si>
  <si>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</si>
  <si>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</si>
  <si>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</si>
  <si>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</si>
  <si>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</si>
  <si>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</si>
  <si>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</si>
  <si>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</si>
  <si>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</si>
  <si>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</si>
  <si>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</si>
  <si>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</si>
  <si>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</si>
  <si>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</si>
  <si>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</si>
  <si>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</si>
  <si>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</si>
  <si>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</si>
  <si>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</si>
  <si>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</si>
  <si>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</si>
  <si>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</si>
  <si>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</si>
  <si>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</si>
  <si>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</si>
  <si>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</si>
  <si>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</si>
  <si>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</si>
  <si>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</si>
  <si>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</si>
  <si>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</si>
  <si>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</si>
  <si>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</si>
  <si>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</si>
  <si>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</si>
  <si>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</si>
  <si>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</si>
  <si>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</si>
  <si>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</si>
  <si>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</si>
  <si>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</si>
  <si>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</si>
  <si>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</si>
  <si>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</si>
  <si>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</si>
  <si>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</si>
  <si>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</si>
  <si>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</si>
  <si>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</si>
  <si>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</si>
  <si>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</si>
  <si>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</si>
  <si>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</si>
  <si>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</si>
  <si>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</si>
  <si>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</si>
  <si>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</si>
  <si>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</si>
  <si>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</si>
  <si>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</si>
  <si>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</si>
  <si>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</si>
  <si>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</si>
  <si>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</si>
  <si>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</si>
  <si>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</si>
  <si>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</si>
  <si>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</si>
  <si>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</si>
  <si>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</si>
  <si>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</si>
  <si>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</si>
  <si>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</si>
  <si>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</si>
  <si>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</si>
  <si>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</si>
  <si>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</si>
  <si>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</si>
  <si>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</si>
  <si>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</si>
  <si>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</si>
  <si>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</si>
  <si>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</si>
  <si>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</si>
  <si>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</si>
  <si>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</si>
  <si>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</si>
  <si>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</si>
  <si>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</si>
  <si>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</si>
  <si>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</si>
  <si>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</si>
  <si>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</si>
  <si>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</si>
  <si>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</si>
  <si>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</si>
  <si>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</si>
  <si>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</si>
  <si>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</si>
  <si>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</si>
  <si>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</si>
  <si>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</si>
  <si>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</si>
  <si>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</si>
  <si>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</si>
  <si>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</si>
  <si>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</si>
  <si>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</si>
  <si>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</si>
  <si>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</si>
  <si>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</si>
  <si>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</si>
  <si>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</si>
  <si>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</si>
  <si>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</si>
  <si>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</si>
  <si>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</si>
  <si>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</si>
  <si>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</si>
  <si>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</si>
  <si>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</si>
  <si>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</si>
  <si>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</si>
  <si>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</si>
  <si>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</si>
  <si>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</si>
  <si>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</si>
  <si>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</si>
  <si>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</si>
  <si>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</si>
  <si>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</si>
  <si>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</si>
  <si>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</si>
  <si>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</si>
  <si>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</si>
  <si>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</si>
  <si>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</si>
  <si>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</si>
  <si>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</si>
  <si>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</si>
  <si>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</si>
  <si>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</si>
  <si>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</si>
  <si>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</si>
  <si>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</si>
  <si>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</si>
  <si>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</si>
  <si>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</si>
  <si>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</si>
  <si>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</si>
  <si>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</si>
  <si>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</si>
  <si>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</si>
  <si>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</si>
  <si>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</si>
  <si>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</si>
  <si>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</si>
  <si>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</si>
  <si>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</si>
  <si>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</si>
  <si>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</si>
  <si>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</si>
  <si>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</si>
  <si>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</si>
  <si>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</si>
  <si>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</si>
  <si>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</si>
  <si>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</si>
  <si>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</si>
  <si>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</si>
  <si>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</si>
  <si>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</si>
  <si>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</si>
  <si>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</si>
  <si>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</si>
  <si>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</si>
  <si>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</si>
  <si>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</si>
  <si>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</si>
  <si>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</si>
  <si>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</si>
  <si>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</si>
  <si>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</si>
  <si>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</si>
  <si>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</si>
  <si>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</si>
  <si>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</si>
  <si>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</si>
  <si>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</si>
  <si>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</si>
  <si>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</si>
  <si>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</si>
  <si>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</si>
  <si>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</si>
  <si>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</si>
  <si>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</si>
  <si>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</si>
  <si>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</si>
  <si>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</si>
  <si>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</si>
  <si>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</si>
  <si>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</si>
  <si>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</si>
  <si>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</si>
  <si>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</si>
  <si>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</si>
  <si>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</si>
  <si>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</si>
  <si>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</si>
  <si>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</si>
  <si>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</si>
  <si>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</si>
  <si>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</si>
  <si>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</si>
  <si>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</si>
  <si>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</si>
  <si>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</si>
  <si>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</si>
  <si>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</si>
  <si>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</si>
  <si>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</si>
  <si>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</si>
  <si>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</si>
  <si>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</si>
  <si>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</si>
  <si>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</si>
  <si>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</si>
  <si>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</si>
  <si>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</si>
  <si>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</si>
  <si>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</si>
  <si>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</si>
  <si>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</si>
  <si>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</si>
  <si>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</si>
  <si>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</si>
  <si>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</si>
  <si>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</si>
  <si>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</si>
  <si>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</si>
  <si>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</si>
  <si>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</si>
  <si>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</si>
  <si>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</si>
  <si>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</si>
  <si>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</si>
  <si>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</si>
  <si>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</si>
  <si>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</si>
  <si>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</si>
  <si>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</si>
  <si>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</si>
  <si>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</si>
  <si>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</si>
  <si>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</si>
  <si>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</si>
  <si>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</si>
  <si>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</si>
  <si>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</si>
  <si>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</si>
  <si>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</si>
  <si>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</si>
  <si>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</si>
  <si>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</si>
  <si>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</si>
  <si>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</si>
  <si>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</si>
  <si>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</si>
  <si>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</si>
  <si>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</si>
  <si>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</si>
  <si>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</si>
  <si>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</si>
  <si>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</si>
  <si>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</si>
  <si>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</si>
  <si>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</si>
  <si>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</si>
  <si>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</si>
  <si>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</si>
  <si>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</si>
  <si>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</si>
  <si>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</si>
  <si>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</si>
  <si>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</si>
  <si>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</si>
  <si>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</si>
  <si>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</si>
  <si>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</si>
  <si>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</si>
  <si>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</si>
  <si>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</si>
  <si>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</si>
  <si>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</si>
  <si>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</si>
  <si>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</si>
  <si>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</si>
  <si>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</si>
  <si>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</si>
  <si>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</si>
  <si>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</si>
  <si>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</si>
  <si>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</si>
  <si>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</si>
  <si>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</si>
  <si>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</si>
  <si>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</si>
  <si>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</si>
  <si>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</si>
  <si>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</si>
  <si>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</si>
  <si>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</si>
  <si>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</si>
  <si>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</si>
  <si>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</si>
  <si>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</si>
  <si>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</si>
  <si>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</si>
  <si>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</si>
  <si>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</si>
  <si>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</si>
  <si>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</si>
  <si>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</si>
  <si>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</si>
  <si>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</si>
  <si>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</si>
  <si>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</si>
  <si>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</si>
  <si>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</si>
  <si>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</si>
  <si>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</si>
  <si>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</si>
  <si>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</si>
  <si>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</si>
  <si>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</si>
  <si>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</si>
  <si>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</si>
  <si>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</si>
  <si>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</si>
  <si>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</si>
  <si>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</si>
  <si>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</si>
  <si>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</si>
  <si>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</si>
  <si>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</si>
  <si>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</si>
  <si>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</si>
  <si>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</si>
  <si>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</si>
  <si>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</si>
  <si>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</si>
  <si>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</si>
  <si>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</si>
  <si>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</si>
  <si>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</si>
  <si>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</si>
  <si>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</si>
  <si>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</si>
  <si>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</si>
  <si>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</si>
  <si>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</si>
  <si>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</si>
  <si>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</si>
  <si>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</si>
  <si>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</si>
  <si>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</si>
  <si>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</si>
  <si>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</si>
  <si>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</si>
  <si>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</si>
  <si>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</si>
  <si>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</si>
  <si>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</si>
  <si>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</si>
  <si>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</si>
  <si>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</si>
  <si>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</si>
  <si>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</si>
  <si>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</si>
  <si>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</si>
  <si>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</si>
  <si>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</si>
  <si>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</si>
  <si>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</si>
  <si>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</si>
  <si>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</si>
  <si>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</si>
  <si>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</si>
  <si>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</si>
  <si>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</si>
  <si>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</si>
  <si>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</si>
  <si>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</si>
  <si>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</si>
  <si>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</si>
  <si>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</si>
  <si>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</si>
  <si>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</si>
  <si>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</si>
  <si>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</si>
  <si>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</si>
  <si>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</si>
  <si>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</si>
  <si>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</si>
  <si>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</si>
  <si>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</si>
  <si>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</si>
  <si>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</si>
  <si>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</si>
  <si>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</si>
  <si>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</si>
  <si>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</si>
  <si>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</si>
  <si>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</si>
  <si>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</si>
  <si>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</si>
  <si>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</si>
  <si>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</si>
  <si>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</si>
  <si>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</si>
  <si>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</si>
  <si>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</si>
  <si>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</si>
  <si>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</si>
  <si>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</si>
  <si>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</si>
  <si>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</si>
  <si>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</si>
  <si>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</si>
  <si>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</si>
  <si>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</si>
  <si>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</si>
  <si>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</si>
  <si>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</si>
  <si>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</si>
  <si>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</si>
  <si>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</si>
  <si>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</si>
  <si>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</si>
  <si>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</si>
  <si>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</si>
  <si>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</si>
  <si>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</si>
  <si>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</si>
  <si>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</si>
  <si>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</si>
  <si>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</si>
  <si>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</si>
  <si>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</si>
  <si>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</si>
  <si>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</si>
  <si>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</si>
  <si>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</si>
  <si>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</si>
  <si>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</si>
  <si>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</si>
  <si>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</si>
  <si>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</si>
  <si>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</si>
  <si>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</si>
  <si>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</si>
  <si>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</si>
  <si>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</si>
  <si>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</si>
  <si>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</si>
  <si>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</si>
  <si>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</si>
  <si>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</si>
  <si>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</si>
  <si>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</si>
  <si>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</si>
  <si>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</si>
  <si>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</si>
  <si>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</si>
  <si>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</si>
  <si>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</si>
  <si>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</si>
  <si>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</si>
  <si>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</si>
  <si>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</si>
  <si>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</si>
  <si>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</si>
  <si>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</si>
  <si>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</si>
  <si>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</si>
  <si>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</si>
  <si>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</si>
  <si>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</si>
  <si>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</si>
  <si>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</si>
  <si>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</si>
  <si>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</si>
  <si>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</si>
  <si>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</si>
  <si>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</si>
  <si>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</si>
  <si>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</si>
  <si>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</si>
  <si>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</si>
  <si>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</si>
  <si>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</si>
  <si>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</si>
  <si>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</si>
  <si>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</si>
  <si>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</si>
  <si>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</si>
  <si>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</si>
  <si>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</si>
  <si>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</si>
  <si>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</si>
  <si>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</si>
  <si>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</si>
  <si>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</si>
  <si>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</si>
  <si>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</si>
  <si>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</si>
  <si>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</si>
  <si>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</si>
  <si>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</si>
  <si>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</si>
  <si>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</si>
  <si>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</si>
  <si>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</si>
  <si>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</si>
  <si>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</si>
  <si>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</si>
  <si>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</si>
  <si>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</si>
  <si>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</si>
  <si>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</si>
  <si>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</si>
  <si>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</si>
  <si>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</si>
  <si>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</si>
  <si>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</si>
  <si>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</si>
  <si>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</si>
  <si>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</si>
  <si>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</si>
  <si>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</si>
  <si>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</si>
  <si>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</si>
  <si>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</si>
  <si>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</si>
  <si>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</si>
  <si>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</si>
  <si>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</si>
  <si>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</si>
  <si>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</si>
  <si>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</si>
  <si>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</si>
  <si>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</si>
  <si>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</si>
  <si>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</si>
  <si>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</si>
  <si>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</si>
  <si>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</si>
  <si>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</si>
  <si>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</si>
  <si>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</si>
  <si>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</si>
  <si>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</si>
  <si>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</si>
  <si>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</si>
  <si>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</si>
  <si>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</si>
  <si>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</si>
  <si>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</si>
  <si>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</si>
  <si>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</si>
  <si>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</si>
  <si>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</si>
  <si>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</si>
  <si>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</si>
  <si>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</si>
  <si>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</si>
  <si>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</si>
  <si>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</si>
  <si>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</si>
  <si>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</si>
  <si>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</si>
  <si>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</si>
  <si>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</si>
  <si>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</si>
  <si>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</si>
  <si>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</si>
  <si>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</si>
  <si>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</si>
  <si>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</si>
  <si>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</si>
  <si>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</si>
  <si>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</si>
  <si>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</si>
  <si>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</si>
  <si>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</si>
  <si>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</si>
  <si>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</si>
  <si>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</si>
  <si>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</si>
  <si>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</si>
  <si>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</si>
  <si>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</si>
  <si>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</si>
  <si>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</si>
  <si>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</si>
  <si>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</si>
  <si>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</si>
  <si>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</si>
  <si>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</si>
  <si>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</si>
  <si>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</si>
  <si>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</si>
  <si>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</si>
  <si>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</si>
  <si>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</si>
  <si>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</si>
  <si>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</si>
  <si>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</si>
  <si>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</si>
  <si>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</si>
  <si>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</si>
  <si>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</si>
  <si>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</si>
  <si>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</si>
  <si>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</si>
  <si>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</si>
  <si>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</si>
  <si>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</si>
  <si>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</si>
  <si>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</si>
  <si>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</si>
  <si>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</si>
  <si>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</si>
  <si>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</si>
  <si>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</si>
  <si>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</si>
  <si>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</si>
  <si>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</si>
  <si>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</si>
  <si>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</si>
  <si>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</si>
  <si>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</si>
  <si>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</si>
  <si>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</si>
  <si>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</si>
  <si>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</si>
  <si>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</si>
  <si>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</si>
  <si>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</si>
  <si>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</si>
  <si>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</si>
  <si>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</si>
  <si>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</si>
  <si>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</si>
  <si>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</si>
  <si>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</si>
  <si>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</si>
  <si>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</si>
  <si>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</si>
  <si>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</si>
  <si>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</si>
  <si>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</si>
  <si>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</si>
  <si>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</si>
  <si>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</si>
  <si>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</si>
  <si>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</si>
  <si>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</si>
  <si>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</si>
  <si>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</si>
  <si>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</si>
  <si>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</si>
  <si>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</si>
  <si>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</si>
  <si>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</si>
  <si>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</si>
  <si>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</si>
  <si>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</si>
  <si>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</si>
  <si>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</si>
  <si>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</si>
  <si>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</si>
  <si>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</si>
  <si>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</si>
  <si>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</si>
  <si>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</si>
  <si>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</si>
  <si>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</si>
  <si>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</si>
  <si>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</si>
  <si>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</si>
  <si>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</si>
  <si>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</si>
  <si>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</si>
  <si>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</si>
  <si>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</si>
  <si>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</si>
  <si>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</si>
  <si>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</si>
  <si>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</si>
  <si>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</si>
  <si>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</si>
  <si>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</si>
  <si>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</si>
  <si>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</si>
  <si>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</si>
  <si>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</si>
  <si>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</si>
  <si>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</si>
  <si>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</si>
  <si>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</si>
  <si>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</si>
  <si>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</si>
  <si>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</si>
  <si>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</si>
  <si>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</si>
  <si>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</si>
  <si>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</si>
  <si>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</si>
  <si>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</si>
  <si>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</si>
  <si>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</si>
  <si>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</si>
  <si>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</si>
  <si>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</si>
  <si>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</si>
  <si>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</si>
  <si>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</si>
  <si>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</si>
  <si>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</si>
  <si>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</si>
  <si>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</si>
  <si>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</si>
  <si>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</si>
  <si>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</si>
  <si>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</si>
  <si>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</si>
  <si>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</si>
  <si>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</si>
  <si>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</si>
  <si>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</si>
  <si>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</si>
  <si>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</si>
  <si>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</si>
  <si>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</si>
  <si>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</si>
  <si>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</si>
  <si>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</si>
  <si>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</si>
  <si>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</si>
  <si>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</si>
  <si>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</si>
  <si>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</si>
  <si>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</si>
  <si>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</si>
  <si>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</si>
  <si>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</si>
  <si>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</si>
  <si>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</si>
  <si>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</si>
  <si>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</si>
  <si>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</si>
  <si>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</si>
  <si>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</si>
  <si>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</si>
  <si>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</si>
  <si>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</si>
  <si>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</si>
  <si>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</si>
  <si>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</si>
  <si>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</si>
  <si>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</si>
  <si>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</si>
  <si>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</si>
  <si>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</si>
  <si>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</si>
  <si>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</si>
  <si>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</si>
  <si>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</si>
  <si>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</si>
  <si>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</si>
  <si>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</si>
  <si>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</si>
  <si>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</si>
  <si>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</si>
  <si>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</si>
  <si>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</si>
  <si>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</si>
  <si>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</si>
  <si>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</si>
  <si>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</si>
  <si>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</si>
  <si>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</si>
  <si>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</si>
  <si>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</si>
  <si>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</si>
  <si>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</si>
  <si>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</si>
  <si>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</si>
  <si>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</si>
  <si>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</si>
  <si>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</si>
  <si>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</si>
  <si>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</si>
  <si>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</si>
  <si>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</si>
  <si>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</si>
  <si>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</si>
  <si>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</si>
  <si>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</si>
  <si>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</si>
  <si>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</si>
  <si>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</si>
  <si>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</si>
  <si>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</si>
  <si>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</si>
  <si>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</si>
  <si>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</si>
  <si>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</si>
  <si>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</si>
  <si>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</si>
  <si>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</si>
  <si>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</si>
  <si>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</si>
  <si>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</si>
  <si>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</si>
  <si>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</si>
  <si>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</si>
  <si>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</si>
  <si>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</si>
  <si>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</si>
  <si>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</si>
  <si>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</si>
  <si>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</si>
  <si>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</si>
  <si>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</si>
  <si>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</si>
  <si>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</si>
  <si>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</si>
  <si>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</si>
  <si>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</si>
  <si>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</si>
  <si>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</si>
  <si>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</si>
  <si>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</si>
  <si>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</si>
  <si>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</si>
  <si>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</si>
  <si>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</si>
  <si>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</si>
  <si>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</si>
  <si>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</si>
  <si>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</si>
  <si>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</si>
  <si>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</si>
  <si>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</si>
  <si>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</si>
  <si>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</si>
  <si>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</si>
  <si>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</si>
  <si>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</si>
  <si>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</si>
  <si>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</si>
  <si>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</si>
  <si>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</si>
  <si>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</si>
  <si>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</si>
  <si>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</si>
  <si>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</si>
  <si>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</si>
  <si>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</si>
  <si>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</si>
  <si>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</si>
  <si>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</si>
  <si>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</si>
  <si>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</si>
  <si>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</si>
  <si>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</si>
  <si>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</si>
  <si>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</si>
  <si>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</si>
  <si>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</si>
  <si>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</si>
  <si>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</si>
  <si>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</si>
  <si>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</si>
  <si>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</si>
  <si>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</si>
  <si>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</si>
  <si>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</si>
  <si>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</si>
  <si>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</si>
  <si>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</si>
  <si>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</si>
  <si>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</si>
  <si>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</si>
  <si>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</si>
  <si>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</si>
  <si>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</si>
  <si>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</si>
  <si>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</si>
  <si>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</si>
  <si>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</si>
  <si>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</si>
  <si>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</si>
  <si>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</si>
  <si>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</si>
  <si>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</si>
  <si>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</si>
  <si>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</si>
  <si>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</si>
  <si>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</si>
  <si>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</si>
  <si>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</si>
  <si>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</si>
  <si>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</si>
  <si>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</si>
  <si>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</si>
  <si>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</si>
  <si>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</si>
  <si>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</si>
  <si>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</si>
  <si>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</si>
  <si>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</si>
  <si>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</si>
  <si>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</si>
  <si>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</si>
  <si>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</si>
  <si>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</si>
  <si>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</si>
  <si>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</si>
  <si>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</si>
  <si>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</si>
  <si>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</si>
  <si>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</si>
  <si>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</si>
  <si>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</si>
  <si>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</si>
  <si>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</si>
  <si>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</si>
  <si>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</si>
  <si>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</si>
  <si>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</si>
  <si>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</si>
  <si>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</si>
  <si>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</si>
  <si>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</si>
  <si>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</si>
  <si>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</si>
  <si>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</si>
  <si>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</si>
  <si>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</si>
  <si>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</si>
  <si>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</si>
  <si>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</si>
  <si>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</si>
  <si>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</si>
  <si>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</si>
  <si>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</si>
  <si>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</si>
  <si>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</si>
  <si>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</si>
  <si>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</si>
  <si>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</si>
  <si>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</si>
  <si>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</si>
  <si>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</si>
  <si>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</si>
  <si>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</si>
  <si>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</si>
  <si>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</si>
  <si>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</si>
  <si>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</si>
  <si>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</si>
  <si>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</si>
  <si>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</si>
  <si>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</si>
  <si>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</si>
  <si>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</si>
  <si>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</si>
  <si>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</si>
  <si>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</si>
  <si>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</si>
  <si>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</si>
  <si>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</si>
  <si>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</si>
  <si>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</si>
  <si>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</si>
  <si>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</si>
  <si>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</si>
  <si>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</si>
  <si>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</si>
  <si>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</si>
  <si>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</si>
  <si>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</si>
  <si>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</si>
  <si>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</si>
  <si>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</si>
  <si>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</si>
  <si>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</si>
  <si>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</si>
  <si>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</si>
  <si>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</si>
  <si>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</si>
  <si>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</si>
  <si>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</si>
  <si>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</si>
  <si>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</si>
  <si>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</si>
  <si>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</si>
  <si>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</si>
  <si>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</si>
  <si>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</si>
  <si>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</si>
  <si>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</si>
  <si>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</si>
  <si>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</si>
  <si>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</si>
  <si>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</si>
  <si>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</si>
  <si>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</si>
  <si>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</si>
  <si>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</si>
  <si>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</si>
  <si>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</si>
  <si>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</si>
  <si>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</si>
  <si>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</si>
  <si>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</si>
  <si>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</si>
  <si>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</si>
  <si>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</si>
  <si>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</si>
  <si>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</si>
  <si>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</si>
  <si>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</si>
  <si>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</si>
  <si>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</si>
  <si>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</si>
  <si>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</si>
  <si>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</si>
  <si>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</si>
  <si>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</si>
  <si>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</si>
  <si>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</si>
  <si>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</si>
  <si>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</si>
  <si>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</si>
  <si>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</si>
  <si>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</si>
  <si>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</si>
  <si>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</si>
  <si>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</si>
  <si>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</si>
  <si>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</si>
  <si>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</si>
  <si>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</si>
  <si>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</si>
  <si>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</si>
  <si>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</si>
  <si>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</si>
  <si>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</si>
  <si>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</si>
  <si>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</si>
  <si>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</si>
  <si>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</si>
  <si>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</si>
  <si>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</si>
  <si>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</si>
  <si>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</si>
  <si>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</si>
  <si>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</si>
  <si>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</si>
  <si>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</si>
  <si>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</si>
  <si>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</si>
  <si>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</si>
  <si>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</si>
  <si>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</si>
  <si>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</si>
  <si>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</si>
  <si>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</si>
  <si>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</si>
  <si>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</si>
  <si>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</si>
  <si>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</si>
  <si>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</si>
  <si>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</si>
  <si>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</si>
  <si>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</si>
  <si>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</si>
  <si>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</si>
  <si>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</si>
  <si>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</si>
  <si>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</si>
  <si>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</si>
  <si>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</si>
  <si>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</si>
  <si>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</si>
  <si>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</si>
  <si>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</si>
  <si>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</si>
  <si>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</si>
  <si>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</si>
  <si>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</si>
  <si>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</si>
  <si>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</si>
  <si>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</si>
  <si>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</si>
  <si>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</si>
  <si>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</si>
  <si>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</si>
  <si>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</si>
  <si>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</si>
  <si>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</si>
  <si>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</si>
  <si>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</si>
  <si>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</si>
  <si>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</si>
  <si>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</si>
  <si>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</si>
  <si>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</si>
  <si>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</si>
  <si>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</si>
  <si>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</si>
  <si>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</si>
  <si>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</si>
  <si>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</si>
  <si>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</si>
  <si>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</si>
  <si>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</si>
  <si>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</si>
  <si>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</si>
  <si>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</si>
  <si>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</si>
  <si>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</si>
  <si>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</si>
  <si>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</si>
  <si>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</si>
  <si>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</si>
  <si>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</si>
  <si>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</si>
  <si>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</si>
  <si>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</si>
  <si>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</si>
  <si>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</si>
  <si>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</si>
  <si>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</si>
  <si>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</si>
  <si>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</si>
  <si>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</si>
  <si>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</si>
  <si>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</si>
  <si>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</si>
  <si>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</si>
  <si>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</si>
  <si>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</si>
  <si>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</si>
  <si>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</si>
  <si>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</si>
  <si>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</si>
  <si>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</si>
  <si>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</si>
  <si>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</si>
  <si>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</si>
  <si>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</si>
  <si>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</si>
  <si>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</si>
  <si>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</si>
  <si>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</si>
  <si>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</si>
  <si>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</si>
  <si>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</si>
  <si>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</si>
  <si>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</si>
  <si>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</si>
  <si>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</si>
  <si>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</si>
  <si>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</si>
  <si>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</si>
  <si>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</si>
  <si>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</si>
  <si>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</si>
  <si>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</si>
  <si>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</si>
  <si>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</si>
  <si>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</si>
  <si>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</si>
  <si>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</si>
  <si>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</si>
  <si>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</si>
  <si>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</si>
  <si>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</si>
  <si>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</si>
  <si>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</si>
  <si>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</si>
  <si>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</si>
  <si>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</si>
  <si>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</si>
  <si>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</si>
  <si>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</si>
  <si>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</si>
  <si>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</si>
  <si>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</si>
  <si>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</si>
  <si>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</si>
  <si>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</si>
  <si>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</si>
  <si>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</si>
  <si>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</si>
  <si>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</si>
  <si>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</si>
  <si>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</si>
  <si>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</si>
  <si>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</si>
  <si>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</si>
  <si>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</si>
  <si>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</si>
  <si>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</si>
  <si>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</si>
  <si>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</si>
  <si>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</si>
  <si>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</si>
  <si>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</si>
  <si>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</si>
  <si>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</si>
  <si>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</si>
  <si>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</si>
  <si>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</si>
  <si>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</si>
  <si>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</si>
  <si>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</si>
  <si>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</si>
  <si>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</si>
  <si>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</si>
  <si>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</si>
  <si>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</si>
  <si>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</si>
  <si>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</si>
  <si>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</si>
  <si>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</si>
  <si>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</si>
  <si>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</si>
  <si>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</si>
  <si>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</si>
  <si>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</si>
  <si>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</si>
  <si>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</si>
  <si>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</si>
  <si>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</si>
  <si>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</si>
  <si>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</si>
  <si>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</si>
  <si>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</si>
  <si>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</si>
  <si>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</si>
  <si>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</si>
  <si>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</si>
  <si>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</si>
  <si>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</si>
  <si>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</si>
  <si>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</si>
  <si>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</si>
  <si>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</si>
  <si>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</si>
  <si>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</si>
  <si>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</si>
  <si>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</si>
  <si>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</si>
  <si>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</si>
  <si>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</si>
  <si>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</si>
  <si>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</si>
  <si>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</si>
  <si>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</si>
  <si>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</si>
  <si>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</si>
  <si>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</si>
  <si>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</si>
  <si>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</si>
  <si>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</si>
  <si>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</si>
  <si>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</si>
  <si>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</si>
  <si>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</si>
  <si>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</si>
  <si>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</si>
  <si>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</si>
  <si>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</si>
  <si>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</si>
  <si>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</si>
  <si>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</si>
  <si>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</si>
  <si>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</si>
  <si>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</si>
  <si>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</si>
  <si>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</si>
  <si>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</si>
  <si>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</si>
  <si>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</si>
  <si>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</si>
  <si>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</si>
  <si>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</si>
  <si>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</si>
  <si>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</si>
  <si>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</si>
  <si>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</si>
  <si>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</si>
  <si>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</si>
  <si>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</si>
  <si>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</si>
  <si>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</si>
  <si>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</si>
  <si>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</si>
  <si>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</si>
  <si>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</si>
  <si>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</si>
  <si>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</si>
  <si>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</si>
  <si>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</si>
  <si>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</si>
  <si>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</si>
  <si>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</si>
  <si>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</si>
  <si>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</si>
  <si>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</si>
  <si>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</si>
  <si>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</si>
  <si>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</si>
  <si>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</si>
  <si>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</si>
  <si>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</si>
  <si>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</si>
  <si>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</si>
  <si>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</si>
  <si>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</si>
  <si>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</si>
  <si>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</si>
  <si>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</si>
  <si>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</si>
  <si>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</si>
  <si>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</si>
  <si>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</si>
  <si>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</si>
  <si>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</si>
  <si>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</si>
  <si>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</si>
  <si>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</si>
  <si>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</si>
  <si>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</si>
  <si>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</si>
  <si>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</si>
  <si>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</si>
  <si>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</si>
  <si>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</si>
  <si>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</si>
  <si>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</si>
  <si>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</si>
  <si>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</si>
  <si>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</si>
  <si>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</si>
  <si>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</si>
  <si>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</si>
  <si>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</si>
  <si>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</si>
  <si>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</si>
  <si>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</si>
  <si>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</si>
  <si>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</si>
  <si>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</si>
  <si>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</si>
  <si>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</si>
  <si>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</si>
  <si>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</si>
  <si>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</si>
  <si>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</si>
  <si>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</si>
  <si>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</si>
  <si>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</si>
  <si>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</si>
  <si>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</si>
  <si>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</si>
  <si>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</si>
  <si>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</si>
  <si>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</si>
  <si>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</si>
  <si>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</si>
  <si>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</si>
  <si>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</si>
  <si>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</si>
  <si>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</si>
  <si>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</si>
  <si>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</si>
  <si>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</si>
  <si>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</si>
  <si>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</si>
  <si>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</si>
  <si>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</si>
  <si>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</si>
  <si>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</si>
  <si>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</si>
  <si>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</si>
  <si>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</si>
  <si>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</si>
  <si>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</si>
  <si>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</si>
  <si>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</si>
  <si>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</si>
  <si>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</si>
  <si>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</si>
  <si>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</si>
  <si>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</si>
  <si>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</si>
  <si>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</si>
  <si>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</si>
  <si>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</si>
  <si>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</si>
  <si>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</si>
  <si>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</si>
  <si>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</si>
  <si>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</si>
  <si>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</si>
  <si>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</si>
  <si>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</si>
  <si>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</si>
  <si>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</si>
  <si>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</si>
  <si>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</si>
  <si>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</si>
  <si>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</si>
  <si>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</si>
  <si>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</si>
  <si>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</si>
  <si>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</si>
  <si>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</si>
  <si>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</si>
  <si>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</si>
  <si>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</si>
  <si>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</si>
  <si>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</si>
  <si>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</si>
  <si>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</si>
  <si>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</si>
  <si>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</si>
  <si>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</si>
  <si>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</si>
  <si>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</si>
  <si>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</si>
  <si>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</si>
  <si>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</si>
  <si>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</si>
  <si>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</si>
  <si>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</si>
  <si>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</si>
  <si>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</si>
  <si>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</si>
  <si>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</si>
  <si>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</si>
  <si>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</si>
  <si>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</si>
  <si>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</si>
  <si>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</si>
  <si>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</si>
  <si>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</si>
  <si>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</si>
  <si>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</si>
  <si>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</si>
  <si>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</si>
  <si>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</si>
  <si>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</si>
  <si>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</si>
  <si>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</si>
  <si>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</si>
  <si>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</si>
  <si>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</si>
  <si>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</si>
  <si>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</si>
  <si>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</si>
  <si>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</si>
  <si>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</si>
  <si>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</si>
  <si>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</si>
  <si>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</si>
  <si>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</si>
  <si>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</si>
  <si>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</si>
  <si>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</si>
  <si>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</si>
  <si>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</si>
  <si>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</si>
  <si>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</si>
  <si>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</si>
  <si>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</si>
  <si>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</si>
  <si>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</si>
  <si>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</si>
  <si>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</si>
  <si>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</si>
  <si>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</si>
  <si>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</si>
  <si>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</si>
  <si>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</si>
  <si>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</si>
  <si>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</si>
  <si>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</si>
  <si>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</si>
  <si>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</si>
  <si>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</si>
  <si>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</si>
  <si>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</si>
  <si>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</si>
  <si>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</si>
  <si>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</si>
  <si>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</si>
  <si>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</si>
  <si>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</si>
  <si>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</si>
  <si>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</si>
  <si>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</si>
  <si>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</si>
  <si>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</si>
  <si>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</si>
  <si>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</si>
  <si>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</si>
  <si>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</si>
  <si>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</si>
  <si>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</si>
  <si>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</si>
  <si>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</si>
  <si>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</si>
  <si>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</si>
  <si>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</si>
  <si>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</si>
  <si>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</si>
  <si>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</si>
  <si>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</si>
  <si>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</si>
  <si>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</si>
  <si>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</si>
  <si>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</si>
  <si>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</si>
  <si>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</si>
  <si>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</si>
  <si>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</si>
  <si>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</si>
  <si>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</si>
  <si>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</si>
  <si>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</si>
  <si>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</si>
  <si>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</si>
  <si>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</si>
  <si>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</si>
  <si>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</si>
  <si>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</si>
  <si>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</si>
  <si>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</si>
  <si>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</si>
  <si>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</si>
  <si>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</si>
  <si>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</si>
  <si>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</si>
  <si>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</si>
  <si>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</si>
  <si>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</si>
  <si>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</si>
  <si>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</si>
  <si>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</si>
  <si>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</si>
  <si>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</si>
  <si>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</si>
  <si>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</si>
  <si>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</si>
  <si>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</si>
  <si>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</si>
  <si>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</si>
  <si>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</si>
  <si>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</si>
  <si>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</si>
  <si>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</si>
  <si>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</si>
  <si>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</si>
  <si>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</si>
  <si>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</si>
  <si>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</si>
  <si>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</si>
  <si>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</si>
  <si>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</si>
  <si>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</si>
  <si>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</si>
  <si>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</si>
  <si>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</si>
  <si>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</si>
  <si>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</si>
  <si>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</si>
  <si>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</si>
  <si>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</si>
  <si>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</si>
  <si>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</si>
  <si>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</si>
  <si>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</si>
  <si>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</si>
  <si>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</si>
  <si>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</si>
  <si>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</si>
  <si>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</si>
  <si>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</si>
  <si>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</si>
  <si>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</si>
  <si>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</si>
  <si>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</si>
  <si>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</si>
  <si>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</si>
  <si>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</si>
  <si>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</si>
  <si>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</si>
  <si>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</si>
  <si>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</si>
  <si>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</si>
  <si>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</si>
  <si>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</si>
  <si>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</si>
  <si>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</si>
  <si>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</si>
  <si>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</si>
  <si>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</si>
  <si>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</si>
  <si>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</si>
  <si>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</si>
  <si>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</si>
  <si>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</si>
  <si>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</si>
  <si>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</si>
  <si>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</si>
  <si>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</si>
  <si>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</si>
  <si>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</si>
  <si>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</si>
  <si>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</si>
  <si>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</si>
  <si>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</si>
  <si>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</si>
  <si>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</si>
  <si>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</si>
  <si>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</si>
  <si>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</si>
  <si>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</si>
  <si>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</si>
  <si>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</si>
  <si>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</si>
  <si>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</si>
  <si>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</si>
  <si>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</si>
  <si>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</si>
  <si>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</si>
  <si>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</si>
  <si>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</si>
  <si>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</si>
  <si>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</si>
  <si>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</si>
  <si>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</si>
  <si>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</si>
  <si>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</si>
  <si>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</si>
  <si>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</si>
  <si>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</si>
  <si>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</si>
  <si>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</si>
  <si>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</si>
  <si>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</si>
  <si>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</si>
  <si>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</si>
  <si>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</si>
  <si>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</si>
  <si>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</si>
  <si>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</si>
  <si>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</si>
  <si>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</si>
  <si>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</si>
  <si>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</si>
  <si>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</si>
  <si>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</si>
  <si>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</si>
  <si>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</si>
  <si>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</si>
  <si>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</si>
  <si>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</si>
  <si>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</si>
  <si>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</si>
  <si>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</si>
  <si>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</si>
  <si>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</si>
  <si>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</si>
  <si>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</si>
  <si>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</si>
  <si>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</si>
  <si>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</si>
  <si>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</si>
  <si>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</si>
  <si>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</si>
  <si>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</si>
  <si>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</si>
  <si>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</si>
  <si>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</si>
  <si>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</si>
  <si>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</si>
  <si>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</si>
  <si>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</si>
  <si>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</si>
  <si>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</si>
  <si>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</si>
  <si>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</si>
  <si>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</si>
  <si>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</si>
  <si>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</si>
  <si>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</si>
  <si>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</si>
  <si>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</si>
  <si>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</si>
  <si>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</si>
  <si>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</si>
  <si>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</si>
  <si>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</si>
  <si>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</si>
  <si>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</si>
  <si>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</si>
  <si>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</si>
  <si>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</si>
  <si>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</si>
  <si>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</si>
  <si>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</si>
  <si>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</si>
  <si>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</si>
  <si>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</si>
  <si>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</si>
  <si>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</si>
  <si>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</si>
  <si>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</si>
  <si>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</si>
  <si>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</si>
  <si>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</si>
  <si>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</si>
  <si>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</si>
  <si>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</si>
  <si>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</si>
  <si>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</si>
  <si>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</si>
  <si>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</si>
  <si>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</si>
  <si>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</si>
  <si>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</si>
  <si>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</si>
  <si>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</si>
  <si>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</si>
  <si>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</si>
  <si>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</si>
  <si>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</si>
  <si>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</si>
  <si>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</si>
  <si>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</si>
  <si>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</si>
  <si>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</si>
  <si>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</si>
  <si>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</si>
  <si>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</si>
  <si>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</si>
  <si>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</si>
  <si>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</si>
  <si>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</si>
  <si>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</si>
  <si>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</si>
  <si>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</si>
  <si>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</si>
  <si>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</si>
  <si>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</si>
  <si>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</si>
  <si>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</si>
  <si>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</si>
  <si>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</si>
  <si>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</si>
  <si>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</si>
  <si>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</si>
  <si>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</si>
  <si>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</si>
  <si>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</si>
  <si>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</si>
  <si>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</si>
  <si>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</si>
  <si>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</si>
  <si>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</si>
  <si>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</si>
  <si>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</si>
  <si>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</si>
  <si>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</si>
  <si>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</si>
  <si>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</si>
  <si>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</si>
  <si>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</si>
  <si>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</si>
  <si>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</si>
  <si>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</si>
  <si>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</si>
  <si>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</si>
  <si>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</si>
  <si>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</si>
  <si>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</si>
  <si>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</si>
  <si>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</si>
  <si>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</si>
  <si>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</si>
  <si>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</si>
  <si>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</si>
  <si>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</si>
  <si>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</si>
  <si>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</si>
  <si>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</si>
  <si>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</si>
  <si>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</si>
  <si>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</si>
  <si>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</si>
  <si>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</si>
  <si>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</si>
  <si>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</si>
  <si>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</si>
  <si>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</si>
  <si>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</si>
  <si>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</si>
  <si>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</si>
  <si>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</si>
  <si>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</si>
  <si>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</si>
  <si>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</si>
  <si>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</si>
  <si>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</si>
  <si>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</si>
  <si>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</si>
  <si>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</si>
  <si>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</si>
  <si>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</si>
  <si>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</si>
  <si>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</si>
  <si>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</si>
  <si>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</si>
  <si>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</si>
  <si>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</si>
  <si>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</si>
  <si>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</si>
  <si>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</si>
  <si>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</si>
  <si>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</si>
  <si>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</si>
  <si>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</si>
  <si>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</si>
  <si>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</si>
  <si>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</si>
  <si>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</si>
  <si>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</si>
  <si>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</si>
  <si>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</si>
  <si>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</si>
  <si>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</si>
  <si>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</si>
  <si>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</si>
  <si>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</si>
  <si>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</si>
  <si>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</si>
  <si>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</si>
  <si>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</si>
  <si>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</si>
  <si>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</si>
  <si>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</si>
  <si>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</si>
  <si>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</si>
  <si>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</si>
  <si>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</si>
  <si>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</si>
  <si>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</si>
  <si>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</si>
  <si>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</si>
  <si>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</si>
  <si>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</si>
  <si>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</si>
  <si>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</si>
  <si>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</si>
  <si>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</si>
  <si>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</si>
  <si>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</si>
  <si>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</si>
  <si>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</si>
  <si>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</si>
  <si>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</si>
  <si>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</si>
  <si>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</si>
  <si>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</si>
  <si>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</si>
  <si>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</si>
  <si>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</si>
  <si>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</si>
  <si>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</si>
  <si>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</si>
  <si>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</si>
  <si>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</si>
  <si>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</si>
  <si>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</si>
  <si>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</si>
  <si>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</si>
  <si>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</si>
  <si>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</si>
  <si>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</si>
  <si>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</si>
  <si>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</si>
  <si>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</si>
  <si>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</si>
  <si>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</si>
  <si>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</si>
  <si>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</si>
  <si>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</si>
  <si>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</si>
  <si>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</si>
  <si>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</si>
  <si>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</si>
  <si>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</si>
  <si>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</si>
  <si>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</si>
  <si>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</si>
  <si>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</si>
  <si>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</si>
  <si>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</si>
  <si>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</si>
  <si>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</si>
  <si>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</si>
  <si>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</si>
  <si>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</si>
  <si>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</si>
  <si>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</si>
  <si>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</si>
  <si>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</si>
  <si>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</si>
  <si>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</si>
  <si>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</si>
  <si>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</si>
  <si>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</si>
  <si>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</si>
  <si>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</si>
  <si>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</si>
  <si>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</si>
  <si>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</si>
  <si>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</si>
  <si>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</si>
  <si>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</si>
  <si>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</si>
  <si>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</si>
  <si>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</si>
  <si>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</si>
  <si>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</si>
  <si>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</si>
  <si>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</si>
  <si>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</si>
  <si>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</si>
  <si>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</si>
  <si>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</si>
  <si>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</si>
  <si>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</si>
  <si>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</si>
  <si>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</si>
  <si>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</si>
  <si>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</si>
  <si>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</si>
  <si>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</si>
  <si>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</si>
  <si>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</si>
  <si>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</si>
  <si>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</si>
  <si>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</si>
  <si>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</si>
  <si>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</si>
  <si>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</si>
  <si>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</si>
  <si>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</si>
  <si>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</si>
  <si>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</si>
  <si>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</si>
  <si>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</si>
  <si>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</si>
  <si>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</si>
  <si>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</si>
  <si>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</si>
  <si>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</si>
  <si>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</si>
  <si>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</si>
  <si>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</si>
  <si>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</si>
  <si>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</si>
  <si>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</si>
  <si>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</si>
  <si>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</si>
  <si>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</si>
  <si>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</si>
  <si>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</si>
  <si>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</si>
  <si>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</si>
  <si>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</si>
  <si>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</si>
  <si>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</si>
  <si>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</si>
  <si>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</si>
  <si>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</si>
  <si>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</si>
  <si>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</si>
  <si>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</si>
  <si>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</si>
  <si>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</si>
  <si>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</si>
  <si>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</si>
  <si>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</si>
  <si>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</si>
  <si>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</si>
  <si>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</si>
  <si>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</si>
  <si>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</si>
  <si>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</si>
  <si>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</si>
  <si>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</si>
  <si>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</si>
  <si>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</si>
  <si>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</si>
  <si>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</si>
  <si>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</si>
  <si>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</si>
  <si>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</si>
  <si>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</si>
  <si>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</si>
  <si>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</si>
  <si>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</si>
  <si>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</si>
  <si>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</si>
  <si>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</si>
  <si>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</si>
  <si>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</si>
  <si>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</si>
  <si>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</si>
  <si>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</si>
  <si>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</si>
  <si>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</si>
  <si>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</si>
  <si>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</si>
  <si>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</si>
  <si>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</si>
  <si>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</si>
  <si>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</si>
  <si>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</si>
  <si>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</si>
  <si>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</si>
  <si>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</si>
  <si>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</si>
  <si>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</si>
  <si>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</si>
  <si>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</si>
  <si>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</si>
  <si>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</si>
  <si>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</si>
  <si>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</si>
  <si>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</si>
  <si>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</si>
  <si>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</si>
  <si>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</si>
  <si>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</si>
  <si>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</si>
  <si>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</si>
  <si>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</si>
  <si>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</si>
  <si>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</si>
  <si>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</si>
  <si>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</si>
  <si>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</si>
  <si>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</si>
  <si>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</si>
  <si>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</si>
  <si>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</si>
  <si>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</si>
  <si>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</si>
  <si>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</si>
  <si>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</si>
  <si>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</si>
  <si>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</si>
  <si>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</si>
  <si>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</si>
  <si>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</si>
  <si>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</si>
  <si>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</si>
  <si>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</si>
  <si>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</si>
  <si>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</si>
  <si>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</si>
  <si>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</si>
  <si>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</si>
  <si>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</si>
  <si>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</si>
  <si>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</si>
  <si>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</si>
  <si>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</si>
  <si>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</si>
  <si>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</si>
  <si>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</si>
  <si>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</si>
  <si>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</si>
  <si>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</si>
  <si>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</si>
  <si>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</si>
  <si>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</si>
  <si>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</si>
  <si>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</si>
  <si>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</si>
  <si>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</si>
  <si>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</si>
  <si>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</si>
  <si>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</si>
  <si>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</si>
  <si>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</si>
  <si>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</si>
  <si>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</si>
  <si>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</si>
  <si>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</si>
  <si>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</si>
  <si>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</si>
  <si>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</si>
  <si>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</si>
  <si>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</si>
  <si>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</si>
  <si>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</si>
  <si>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</si>
  <si>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</si>
  <si>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</si>
  <si>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</si>
  <si>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</si>
  <si>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</si>
  <si>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</si>
  <si>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</si>
  <si>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</si>
  <si>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</si>
  <si>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</si>
  <si>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</si>
  <si>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</si>
  <si>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</si>
  <si>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</si>
  <si>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</si>
  <si>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</si>
  <si>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</si>
  <si>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</si>
  <si>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</si>
  <si>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</si>
  <si>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</si>
  <si>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</si>
  <si>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</si>
  <si>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</si>
  <si>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</si>
  <si>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</si>
  <si>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</si>
  <si>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</si>
  <si>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</si>
  <si>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</si>
  <si>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</si>
  <si>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</si>
  <si>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</si>
  <si>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</si>
  <si>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</si>
  <si>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</si>
  <si>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</si>
  <si>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</si>
  <si>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</si>
  <si>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</si>
  <si>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</si>
  <si>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</si>
  <si>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</si>
  <si>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</si>
  <si>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</si>
  <si>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</si>
  <si>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</si>
  <si>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</si>
  <si>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</si>
  <si>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</si>
  <si>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</si>
  <si>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</si>
  <si>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</si>
  <si>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</si>
  <si>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</si>
  <si>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</si>
  <si>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</si>
  <si>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</si>
  <si>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</si>
  <si>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</si>
  <si>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</si>
  <si>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</si>
  <si>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</si>
  <si>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</si>
  <si>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</si>
  <si>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</si>
  <si>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</si>
  <si>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</si>
  <si>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</si>
  <si>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</si>
  <si>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</si>
  <si>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</si>
  <si>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</si>
  <si>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</si>
  <si>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</si>
  <si>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</si>
  <si>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</si>
  <si>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</si>
  <si>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</si>
  <si>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</si>
  <si>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</si>
  <si>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</si>
  <si>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</si>
  <si>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</si>
  <si>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</si>
  <si>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</si>
  <si>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</si>
  <si>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</si>
  <si>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</si>
  <si>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</si>
  <si>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</si>
  <si>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</si>
  <si>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</si>
  <si>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</si>
  <si>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</si>
  <si>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</si>
  <si>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</si>
  <si>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</si>
  <si>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</si>
  <si>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</si>
  <si>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</si>
  <si>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</si>
  <si>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</si>
  <si>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</si>
  <si>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</si>
  <si>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</si>
  <si>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</si>
  <si>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</si>
  <si>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</si>
  <si>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</si>
  <si>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</si>
  <si>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</si>
  <si>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</si>
  <si>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</si>
  <si>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</si>
  <si>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</si>
  <si>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</si>
  <si>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</si>
  <si>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</si>
  <si>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</si>
  <si>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</si>
  <si>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</si>
  <si>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</si>
  <si>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</si>
  <si>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</si>
  <si>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</si>
  <si>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</si>
  <si>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</si>
  <si>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</si>
  <si>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</si>
  <si>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</si>
  <si>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</si>
  <si>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</si>
  <si>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</si>
  <si>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</si>
  <si>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</si>
  <si>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</si>
  <si>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</si>
  <si>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</si>
  <si>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</si>
  <si>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</si>
  <si>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</si>
  <si>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</si>
  <si>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</si>
  <si>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</si>
  <si>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</si>
  <si>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</si>
  <si>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</si>
  <si>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</si>
  <si>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</si>
  <si>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</si>
  <si>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</si>
  <si>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</si>
  <si>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</si>
  <si>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</si>
  <si>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</si>
  <si>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</si>
  <si>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</si>
  <si>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</si>
  <si>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</si>
  <si>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</si>
  <si>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</si>
  <si>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</si>
  <si>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</si>
  <si>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</si>
  <si>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</si>
  <si>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</si>
  <si>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</si>
  <si>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</si>
  <si>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</si>
  <si>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</si>
  <si>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</si>
  <si>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</si>
  <si>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</si>
  <si>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</si>
  <si>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</si>
  <si>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</si>
  <si>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</si>
  <si>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</si>
  <si>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</si>
  <si>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</si>
  <si>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</si>
  <si>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</si>
  <si>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</si>
  <si>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</si>
  <si>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</si>
  <si>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</si>
  <si>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</si>
  <si>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</si>
  <si>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</si>
  <si>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</si>
  <si>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</si>
  <si>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</si>
  <si>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</si>
  <si>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</si>
  <si>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</si>
  <si>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</si>
  <si>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</si>
  <si>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</si>
  <si>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</si>
  <si>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</si>
  <si>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</si>
  <si>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</si>
  <si>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</si>
  <si>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</si>
  <si>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</si>
  <si>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</si>
  <si>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</si>
  <si>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</si>
  <si>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</si>
  <si>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</si>
  <si>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</si>
  <si>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</si>
  <si>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</si>
  <si>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</si>
  <si>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</si>
  <si>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</si>
  <si>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</si>
  <si>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</si>
  <si>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</si>
  <si>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</si>
  <si>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</si>
  <si>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</si>
  <si>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</si>
  <si>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</si>
  <si>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</si>
  <si>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</si>
  <si>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</si>
  <si>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</si>
  <si>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</si>
  <si>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</si>
  <si>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</si>
  <si>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</si>
  <si>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</si>
  <si>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</si>
  <si>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</si>
  <si>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</si>
  <si>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</si>
  <si>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</si>
  <si>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</si>
  <si>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</si>
  <si>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</si>
  <si>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</si>
  <si>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</si>
  <si>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</si>
  <si>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</si>
  <si>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</si>
  <si>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</si>
  <si>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</si>
  <si>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</si>
  <si>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</si>
  <si>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</si>
  <si>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</si>
  <si>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</si>
  <si>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</si>
  <si>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</si>
  <si>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</si>
  <si>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</si>
  <si>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</si>
  <si>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</si>
  <si>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</si>
  <si>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</si>
  <si>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</si>
  <si>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</si>
  <si>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</si>
  <si>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</si>
  <si>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</si>
  <si>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</si>
  <si>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</si>
  <si>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</si>
  <si>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</si>
  <si>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</si>
  <si>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</si>
  <si>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</si>
  <si>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</si>
  <si>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</si>
  <si>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</si>
  <si>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</si>
  <si>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</si>
  <si>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</si>
  <si>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</si>
  <si>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</si>
  <si>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</si>
  <si>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</si>
  <si>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</si>
  <si>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</si>
  <si>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</si>
  <si>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</si>
  <si>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</si>
  <si>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</si>
  <si>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</si>
  <si>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</si>
  <si>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</si>
  <si>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</si>
  <si>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</si>
  <si>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</si>
  <si>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</si>
  <si>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</si>
  <si>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</si>
  <si>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</si>
  <si>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</si>
  <si>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</si>
  <si>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</si>
  <si>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</si>
  <si>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</si>
  <si>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</si>
  <si>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</si>
  <si>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</si>
  <si>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</si>
  <si>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</si>
  <si>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</si>
  <si>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</si>
  <si>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</si>
  <si>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</si>
  <si>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</si>
  <si>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</si>
  <si>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</si>
  <si>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</si>
  <si>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</si>
  <si>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</si>
  <si>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</si>
  <si>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</si>
  <si>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</si>
  <si>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</si>
  <si>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</si>
  <si>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</si>
  <si>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</si>
  <si>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</si>
  <si>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</si>
  <si>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</si>
  <si>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</si>
  <si>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</si>
  <si>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</si>
  <si>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</si>
  <si>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</si>
  <si>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</si>
  <si>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</si>
  <si>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</si>
  <si>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</si>
  <si>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</si>
  <si>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</si>
  <si>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</si>
  <si>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</si>
  <si>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</si>
  <si>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</si>
  <si>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</si>
  <si>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</si>
  <si>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</si>
  <si>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</si>
  <si>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</si>
  <si>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</si>
  <si>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</si>
  <si>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</si>
  <si>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</si>
  <si>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</si>
  <si>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</si>
  <si>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</si>
  <si>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</si>
  <si>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</si>
  <si>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</si>
  <si>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</si>
  <si>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</si>
  <si>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</si>
  <si>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</si>
  <si>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</si>
  <si>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</si>
  <si>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</si>
  <si>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</si>
  <si>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</si>
  <si>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</si>
  <si>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</si>
  <si>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</si>
  <si>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</si>
  <si>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</si>
  <si>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</si>
  <si>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</si>
  <si>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</si>
  <si>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</si>
  <si>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</si>
  <si>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</si>
  <si>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</si>
  <si>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</si>
  <si>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</si>
  <si>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</si>
  <si>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</si>
  <si>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</si>
  <si>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</si>
  <si>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</si>
  <si>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</si>
  <si>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</si>
  <si>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</si>
  <si>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</si>
  <si>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</si>
  <si>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</si>
  <si>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</si>
  <si>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</si>
  <si>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</si>
  <si>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</si>
  <si>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</si>
  <si>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</si>
  <si>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</si>
  <si>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</si>
  <si>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</si>
  <si>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</si>
  <si>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</si>
  <si>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</si>
  <si>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</si>
  <si>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</si>
  <si>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</si>
  <si>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</si>
  <si>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</si>
  <si>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</si>
  <si>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</si>
  <si>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</si>
  <si>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</si>
  <si>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</si>
  <si>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</si>
  <si>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</si>
  <si>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</si>
  <si>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</si>
  <si>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</si>
  <si>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</si>
  <si>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</si>
  <si>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</si>
  <si>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</si>
  <si>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</si>
  <si>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</si>
  <si>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</si>
  <si>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</si>
  <si>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</si>
  <si>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</si>
  <si>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</si>
  <si>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</si>
  <si>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</si>
  <si>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</si>
  <si>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</si>
  <si>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</si>
  <si>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</si>
  <si>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</si>
  <si>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</si>
  <si>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</si>
  <si>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</si>
  <si>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</si>
  <si>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</si>
  <si>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</si>
  <si>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</si>
  <si>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</si>
  <si>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</si>
  <si>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</si>
  <si>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</si>
  <si>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</si>
  <si>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</si>
  <si>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</si>
  <si>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</si>
  <si>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</si>
  <si>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</si>
  <si>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</si>
  <si>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</si>
  <si>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</si>
  <si>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</si>
  <si>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</si>
  <si>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</si>
  <si>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</si>
  <si>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</si>
  <si>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</si>
  <si>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</si>
  <si>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</si>
  <si>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</si>
  <si>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</si>
  <si>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</si>
  <si>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</si>
  <si>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</si>
  <si>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</si>
  <si>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</si>
  <si>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</si>
  <si>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</si>
  <si>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</si>
  <si>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</si>
  <si>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</si>
  <si>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</si>
  <si>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</si>
  <si>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</si>
  <si>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</si>
  <si>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</si>
  <si>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</si>
  <si>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</si>
  <si>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</si>
  <si>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</si>
  <si>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</si>
  <si>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</si>
  <si>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</si>
  <si>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</si>
  <si>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</si>
  <si>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</si>
  <si>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</si>
  <si>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</si>
  <si>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</si>
  <si>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</si>
  <si>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</si>
  <si>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</si>
  <si>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</si>
  <si>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</si>
  <si>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</si>
  <si>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</si>
  <si>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</si>
  <si>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</si>
  <si>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</si>
  <si>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</si>
  <si>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</si>
  <si>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</si>
  <si>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</si>
  <si>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</si>
  <si>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</si>
  <si>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</si>
  <si>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</si>
  <si>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</si>
  <si>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</si>
  <si>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</si>
  <si>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</si>
  <si>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</si>
  <si>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</si>
  <si>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</si>
  <si>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</si>
  <si>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</si>
  <si>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</si>
  <si>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</si>
  <si>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</si>
  <si>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</si>
  <si>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</si>
  <si>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</si>
  <si>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</si>
  <si>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</si>
  <si>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</si>
  <si>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</si>
  <si>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</si>
  <si>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</si>
  <si>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</si>
  <si>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</si>
  <si>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</si>
  <si>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</si>
  <si>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</si>
  <si>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</si>
  <si>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</si>
  <si>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</si>
  <si>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</si>
  <si>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</si>
  <si>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</si>
  <si>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</si>
  <si>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</si>
  <si>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</si>
  <si>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</si>
  <si>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</si>
  <si>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</si>
  <si>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</si>
  <si>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</si>
  <si>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</si>
  <si>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</si>
  <si>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</si>
  <si>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</si>
  <si>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</si>
  <si>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</si>
  <si>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</si>
  <si>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</si>
  <si>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</si>
  <si>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</si>
  <si>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</si>
  <si>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</si>
  <si>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</si>
  <si>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</si>
  <si>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</si>
  <si>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</si>
  <si>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</si>
  <si>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</si>
  <si>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</si>
  <si>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</si>
  <si>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</si>
  <si>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</si>
  <si>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</si>
  <si>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</si>
  <si>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</si>
  <si>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</si>
  <si>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</si>
  <si>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</si>
  <si>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</si>
  <si>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</si>
  <si>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</si>
  <si>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</si>
  <si>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</si>
  <si>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</si>
  <si>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</si>
  <si>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</si>
  <si>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</si>
  <si>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</si>
  <si>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</si>
  <si>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</si>
  <si>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</si>
  <si>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</si>
  <si>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</si>
  <si>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</si>
  <si>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</si>
  <si>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</si>
  <si>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</si>
  <si>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</si>
  <si>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</si>
  <si>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</si>
  <si>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</si>
  <si>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</si>
  <si>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</si>
  <si>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</si>
  <si>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</si>
  <si>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</si>
  <si>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</si>
  <si>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</si>
  <si>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</si>
  <si>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</si>
  <si>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</si>
  <si>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</si>
  <si>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</si>
  <si>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</si>
  <si>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</si>
  <si>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</si>
  <si>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</si>
  <si>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</si>
  <si>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</si>
  <si>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</si>
  <si>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</si>
  <si>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</si>
  <si>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</si>
  <si>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</si>
  <si>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</si>
  <si>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</si>
  <si>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</si>
  <si>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</si>
  <si>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</si>
  <si>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</si>
  <si>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</si>
  <si>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</si>
  <si>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</si>
  <si>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</si>
  <si>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</si>
  <si>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</si>
  <si>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</si>
  <si>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</si>
  <si>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</si>
  <si>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</si>
  <si>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</si>
  <si>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</si>
  <si>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</si>
  <si>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</si>
  <si>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</si>
  <si>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</si>
  <si>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</si>
  <si>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</si>
  <si>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</si>
  <si>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</si>
  <si>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</si>
  <si>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</si>
  <si>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</si>
  <si>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</si>
  <si>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</si>
  <si>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</si>
  <si>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</si>
  <si>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</si>
  <si>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</si>
  <si>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</si>
  <si>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</si>
  <si>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</si>
  <si>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</si>
  <si>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</si>
  <si>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</si>
  <si>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</si>
  <si>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</si>
  <si>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</si>
  <si>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</si>
  <si>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</si>
  <si>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</si>
  <si>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</si>
  <si>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</si>
  <si>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</si>
  <si>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</si>
  <si>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</si>
  <si>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</si>
  <si>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</si>
  <si>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</si>
  <si>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</si>
  <si>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</si>
  <si>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</si>
  <si>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</si>
  <si>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</si>
  <si>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</si>
  <si>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</si>
  <si>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</si>
  <si>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</si>
  <si>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</si>
  <si>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</si>
  <si>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</si>
  <si>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</si>
  <si>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</si>
  <si>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</si>
  <si>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</si>
  <si>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</si>
  <si>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</si>
  <si>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</si>
  <si>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</si>
  <si>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</si>
  <si>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</si>
  <si>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</si>
  <si>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</si>
  <si>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</si>
  <si>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</si>
  <si>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</si>
  <si>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</si>
  <si>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</si>
  <si>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</si>
  <si>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</si>
  <si>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</si>
  <si>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</si>
  <si>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</si>
  <si>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</si>
  <si>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</si>
  <si>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</si>
  <si>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</si>
  <si>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</si>
  <si>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</si>
  <si>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</si>
  <si>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</si>
  <si>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</si>
  <si>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</si>
  <si>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</si>
  <si>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</si>
  <si>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</si>
  <si>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</si>
  <si>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</si>
  <si>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</si>
  <si>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</si>
  <si>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</si>
  <si>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</si>
  <si>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</si>
  <si>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</si>
  <si>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</si>
  <si>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</si>
  <si>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</si>
  <si>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</si>
  <si>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</si>
  <si>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</si>
  <si>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</si>
  <si>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</si>
  <si>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</si>
  <si>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</si>
  <si>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</si>
  <si>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</si>
  <si>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</si>
  <si>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</si>
  <si>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</si>
  <si>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</si>
  <si>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</si>
  <si>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</si>
  <si>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</si>
  <si>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</si>
  <si>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</si>
  <si>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</si>
  <si>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</si>
  <si>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</si>
  <si>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</si>
  <si>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</si>
  <si>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</si>
  <si>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</si>
  <si>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</si>
  <si>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</si>
  <si>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</si>
  <si>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</si>
  <si>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</si>
  <si>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</si>
  <si>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</si>
  <si>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</si>
  <si>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</si>
  <si>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</si>
  <si>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</si>
  <si>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</si>
  <si>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</si>
  <si>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</si>
  <si>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</si>
  <si>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</si>
  <si>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</si>
  <si>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</si>
  <si>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</si>
  <si>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</si>
  <si>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</si>
  <si>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</si>
  <si>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</si>
  <si>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</si>
  <si>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</si>
  <si>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</si>
  <si>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</si>
  <si>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</si>
  <si>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</si>
  <si>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</si>
  <si>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</si>
  <si>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</si>
  <si>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</si>
  <si>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</si>
  <si>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</si>
  <si>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</si>
  <si>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</si>
  <si>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</si>
  <si>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</si>
  <si>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</si>
  <si>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</si>
  <si>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</si>
  <si>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</si>
  <si>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</si>
  <si>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</si>
  <si>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</si>
  <si>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</si>
  <si>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</si>
  <si>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</si>
  <si>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</si>
  <si>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</si>
  <si>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</si>
  <si>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</si>
  <si>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</si>
  <si>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</si>
  <si>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</si>
  <si>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</si>
  <si>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</si>
  <si>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</si>
  <si>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</si>
  <si>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</si>
  <si>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</si>
  <si>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</si>
  <si>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</si>
  <si>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</si>
  <si>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</si>
  <si>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</si>
  <si>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</si>
  <si>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</si>
  <si>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</si>
  <si>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</si>
  <si>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</si>
  <si>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</si>
  <si>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</si>
  <si>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</si>
  <si>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</si>
  <si>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</si>
  <si>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</si>
  <si>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</si>
  <si>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</si>
  <si>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</si>
  <si>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</si>
  <si>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</si>
  <si>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</si>
  <si>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</si>
  <si>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</si>
  <si>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</si>
  <si>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</si>
  <si>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</si>
  <si>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</si>
  <si>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</si>
  <si>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</si>
  <si>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</si>
  <si>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</si>
  <si>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</si>
  <si>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</si>
  <si>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</si>
  <si>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</si>
  <si>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</si>
  <si>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</si>
  <si>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</si>
  <si>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</si>
  <si>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</si>
  <si>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</si>
  <si>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</si>
  <si>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</si>
  <si>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</si>
  <si>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</si>
  <si>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</si>
  <si>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</si>
  <si>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</si>
  <si>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</si>
  <si>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</si>
  <si>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</si>
  <si>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</si>
  <si>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</si>
  <si>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</si>
  <si>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</si>
  <si>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</si>
  <si>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</si>
  <si>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</si>
  <si>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</si>
  <si>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</si>
  <si>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</si>
  <si>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</si>
  <si>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</si>
  <si>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</si>
  <si>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</si>
  <si>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</si>
  <si>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</si>
  <si>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</si>
  <si>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</si>
  <si>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</si>
  <si>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</si>
  <si>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</si>
  <si>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</si>
  <si>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</si>
  <si>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</si>
  <si>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</si>
  <si>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</si>
  <si>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</si>
  <si>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</si>
  <si>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</si>
  <si>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</si>
  <si>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</si>
  <si>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</si>
  <si>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</si>
  <si>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</si>
  <si>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</si>
  <si>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</si>
  <si>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</si>
  <si>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</si>
  <si>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</si>
  <si>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</si>
  <si>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</si>
  <si>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</si>
  <si>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</si>
  <si>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</si>
  <si>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</si>
  <si>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</si>
  <si>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</si>
  <si>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</si>
  <si>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</si>
  <si>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</si>
  <si>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</si>
  <si>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</si>
  <si>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</si>
  <si>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</si>
  <si>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</si>
  <si>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</si>
  <si>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</si>
  <si>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</si>
  <si>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</si>
  <si>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</si>
  <si>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</si>
  <si>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</si>
  <si>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</si>
  <si>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</si>
  <si>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</si>
  <si>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</si>
  <si>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</si>
  <si>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</si>
  <si>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</si>
  <si>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</si>
  <si>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</si>
  <si>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</si>
  <si>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</si>
  <si>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</si>
  <si>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</si>
  <si>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</si>
  <si>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</si>
  <si>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</si>
  <si>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</si>
  <si>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</si>
  <si>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</si>
  <si>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</si>
  <si>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</si>
  <si>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</si>
  <si>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</si>
  <si>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</si>
  <si>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</si>
  <si>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</si>
  <si>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</si>
  <si>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</si>
  <si>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</si>
  <si>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</si>
  <si>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</si>
  <si>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</si>
  <si>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</si>
  <si>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</si>
  <si>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</si>
  <si>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</si>
  <si>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</si>
  <si>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</si>
  <si>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</si>
  <si>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</si>
  <si>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</si>
  <si>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</si>
  <si>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</si>
  <si>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</si>
  <si>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</si>
  <si>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</si>
  <si>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</si>
  <si>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</si>
  <si>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</si>
  <si>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</si>
  <si>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</si>
  <si>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</si>
  <si>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</si>
  <si>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</si>
  <si>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</si>
  <si>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</si>
  <si>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</si>
  <si>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</si>
  <si>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</si>
  <si>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</si>
  <si>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</si>
  <si>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</si>
  <si>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</si>
  <si>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</si>
  <si>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</si>
  <si>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</si>
  <si>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</si>
  <si>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</si>
  <si>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</si>
  <si>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</si>
  <si>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</si>
  <si>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</si>
  <si>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</si>
  <si>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</si>
  <si>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</si>
  <si>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</si>
  <si>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</si>
  <si>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</si>
  <si>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</si>
  <si>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</si>
  <si>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</si>
  <si>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</si>
  <si>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</si>
  <si>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</si>
  <si>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</si>
  <si>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</si>
  <si>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</si>
  <si>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</si>
  <si>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</si>
  <si>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</si>
  <si>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</si>
  <si>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</si>
  <si>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</si>
  <si>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</si>
  <si>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</si>
  <si>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</si>
  <si>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</si>
  <si>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</si>
  <si>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</si>
  <si>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</si>
  <si>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</si>
  <si>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</si>
  <si>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</si>
  <si>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</si>
  <si>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</si>
  <si>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</si>
  <si>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</si>
  <si>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</si>
  <si>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</si>
  <si>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</si>
  <si>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</si>
  <si>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</si>
  <si>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</si>
  <si>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</si>
  <si>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</si>
  <si>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</si>
  <si>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</si>
  <si>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</si>
  <si>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</si>
  <si>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</si>
  <si>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</si>
  <si>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</si>
  <si>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</si>
  <si>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</si>
  <si>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</si>
  <si>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</si>
  <si>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</si>
  <si>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</si>
  <si>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</si>
  <si>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</si>
  <si>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</si>
  <si>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</si>
  <si>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</si>
  <si>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</si>
  <si>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</si>
  <si>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</si>
  <si>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</si>
  <si>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</si>
  <si>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</si>
  <si>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</si>
  <si>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</si>
  <si>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</si>
  <si>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</si>
  <si>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</si>
  <si>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</si>
  <si>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</si>
  <si>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</si>
  <si>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</si>
  <si>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</si>
  <si>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</si>
  <si>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</si>
  <si>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</si>
  <si>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</si>
  <si>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</si>
  <si>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</si>
  <si>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</si>
  <si>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</si>
  <si>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</si>
  <si>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</si>
  <si>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</si>
  <si>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</si>
  <si>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</si>
  <si>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</si>
  <si>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</si>
  <si>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</si>
  <si>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</si>
  <si>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</si>
  <si>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</si>
  <si>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</si>
  <si>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</si>
  <si>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</si>
  <si>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</si>
  <si>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</si>
  <si>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</si>
  <si>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</si>
  <si>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</si>
  <si>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</si>
  <si>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</si>
  <si>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</si>
  <si>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</si>
  <si>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</si>
  <si>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</si>
  <si>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</si>
  <si>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</si>
  <si>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</si>
  <si>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</si>
  <si>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</si>
  <si>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</si>
  <si>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</si>
  <si>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</si>
  <si>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</si>
  <si>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</si>
  <si>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</si>
  <si>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</si>
  <si>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</si>
  <si>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</si>
  <si>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</si>
  <si>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</si>
  <si>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</si>
  <si>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</si>
  <si>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</si>
  <si>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</si>
  <si>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</si>
  <si>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</si>
  <si>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</si>
  <si>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</si>
  <si>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</si>
  <si>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</si>
  <si>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</si>
  <si>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</si>
  <si>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</si>
  <si>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</si>
  <si>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</si>
  <si>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</si>
  <si>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</si>
  <si>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</si>
  <si>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</si>
  <si>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</si>
  <si>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</si>
  <si>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</si>
  <si>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</si>
  <si>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</si>
  <si>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</si>
  <si>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</si>
  <si>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</si>
  <si>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</si>
  <si>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</si>
  <si>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</si>
  <si>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</si>
  <si>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</si>
  <si>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</si>
  <si>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</si>
  <si>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</si>
  <si>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</si>
  <si>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</si>
  <si>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</si>
  <si>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</si>
  <si>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</si>
  <si>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</si>
  <si>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</si>
  <si>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</si>
  <si>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</si>
  <si>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</si>
  <si>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</si>
  <si>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</si>
  <si>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</si>
  <si>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</si>
  <si>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</si>
  <si>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</si>
  <si>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</si>
  <si>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</si>
  <si>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</si>
  <si>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</si>
  <si>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</si>
  <si>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</si>
  <si>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</si>
  <si>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</si>
  <si>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</si>
  <si>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</si>
  <si>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</si>
  <si>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</si>
  <si>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</si>
  <si>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</si>
  <si>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</si>
  <si>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</si>
  <si>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</si>
  <si>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</si>
  <si>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</si>
  <si>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</si>
  <si>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</si>
  <si>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</si>
  <si>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</si>
  <si>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</si>
  <si>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</si>
  <si>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</si>
  <si>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</si>
  <si>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</si>
  <si>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</si>
  <si>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</si>
  <si>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</si>
  <si>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</si>
  <si>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</si>
  <si>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</si>
  <si>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</si>
  <si>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</si>
  <si>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</si>
  <si>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</si>
  <si>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</si>
  <si>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</si>
  <si>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</si>
  <si>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</si>
  <si>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</si>
  <si>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</si>
  <si>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</si>
  <si>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</si>
  <si>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</si>
  <si>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</si>
  <si>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</si>
  <si>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</si>
  <si>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</si>
  <si>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</si>
  <si>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</si>
  <si>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</si>
  <si>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</si>
  <si>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</si>
  <si>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</si>
  <si>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</si>
  <si>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</si>
  <si>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</si>
  <si>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</si>
  <si>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</si>
  <si>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</si>
  <si>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</si>
  <si>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</si>
  <si>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</si>
  <si>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</si>
  <si>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</si>
  <si>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</si>
  <si>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</si>
  <si>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</si>
  <si>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</si>
  <si>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</si>
  <si>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</si>
  <si>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</si>
  <si>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</si>
  <si>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</si>
  <si>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</si>
  <si>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</si>
  <si>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</si>
  <si>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</si>
  <si>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</si>
  <si>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</si>
  <si>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</si>
  <si>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</si>
  <si>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</si>
  <si>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</si>
  <si>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</si>
  <si>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</si>
  <si>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</si>
  <si>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</si>
  <si>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</si>
  <si>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</si>
  <si>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</si>
  <si>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</si>
  <si>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</si>
  <si>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</si>
  <si>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</si>
  <si>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</si>
  <si>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</si>
  <si>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</si>
  <si>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</si>
  <si>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</si>
  <si>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</si>
  <si>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</si>
  <si>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</si>
  <si>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</si>
  <si>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</si>
  <si>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</si>
  <si>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</si>
  <si>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</si>
  <si>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</si>
  <si>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</si>
  <si>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</si>
  <si>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</si>
  <si>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</si>
  <si>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</si>
  <si>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</si>
  <si>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</si>
  <si>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</si>
  <si>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</si>
  <si>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</si>
  <si>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</si>
  <si>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</si>
  <si>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</si>
  <si>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</si>
  <si>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</si>
  <si>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</si>
  <si>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</si>
  <si>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</si>
  <si>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</si>
  <si>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</si>
  <si>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</si>
  <si>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</si>
  <si>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</si>
  <si>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</si>
  <si>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</si>
  <si>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</si>
  <si>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</si>
  <si>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</si>
  <si>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</si>
  <si>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</si>
  <si>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</si>
  <si>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</si>
  <si>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</si>
  <si>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</si>
  <si>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</si>
  <si>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</si>
  <si>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</si>
  <si>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</si>
  <si>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</si>
  <si>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</si>
  <si>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</si>
  <si>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</si>
  <si>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</si>
  <si>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</si>
  <si>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</si>
  <si>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</si>
  <si>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</si>
  <si>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</si>
  <si>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</si>
  <si>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</si>
  <si>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</si>
  <si>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</si>
  <si>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</si>
  <si>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</si>
  <si>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</si>
  <si>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</si>
  <si>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</si>
  <si>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</si>
  <si>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</si>
  <si>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</si>
  <si>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</si>
  <si>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</si>
  <si>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</si>
  <si>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</si>
  <si>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</si>
  <si>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</si>
  <si>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</si>
  <si>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</si>
  <si>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</si>
  <si>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</si>
  <si>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</si>
  <si>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</si>
  <si>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</si>
  <si>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</si>
  <si>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</si>
  <si>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</si>
  <si>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</si>
  <si>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</si>
  <si>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</si>
  <si>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</si>
  <si>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</si>
  <si>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</si>
  <si>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</si>
  <si>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</si>
  <si>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</si>
  <si>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</si>
  <si>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</si>
  <si>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</si>
  <si>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</si>
  <si>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</si>
  <si>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</si>
  <si>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</si>
  <si>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</si>
  <si>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</si>
  <si>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</si>
  <si>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</si>
  <si>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</si>
  <si>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</si>
  <si>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</si>
  <si>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</si>
  <si>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</si>
  <si>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</si>
  <si>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</si>
  <si>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</si>
  <si>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</si>
  <si>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</si>
  <si>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</si>
  <si>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</si>
  <si>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</si>
  <si>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</si>
  <si>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</si>
  <si>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</si>
  <si>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</si>
  <si>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</si>
  <si>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</si>
  <si>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</si>
  <si>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</si>
  <si>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</si>
  <si>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</si>
  <si>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</si>
  <si>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</si>
  <si>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</si>
  <si>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</si>
  <si>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</si>
  <si>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</si>
  <si>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</si>
  <si>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</si>
  <si>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</si>
  <si>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</si>
  <si>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</si>
  <si>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</si>
  <si>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</si>
  <si>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</si>
  <si>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</si>
  <si>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</si>
  <si>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</si>
  <si>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</si>
  <si>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</si>
  <si>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</si>
  <si>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</si>
  <si>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</si>
  <si>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</si>
  <si>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</si>
  <si>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</si>
  <si>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</si>
  <si>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</si>
  <si>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</si>
  <si>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</si>
  <si>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</si>
  <si>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</si>
  <si>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</si>
  <si>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</si>
  <si>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</si>
  <si>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</si>
  <si>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</si>
  <si>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</si>
  <si>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</si>
  <si>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</si>
  <si>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</si>
  <si>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</si>
  <si>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</si>
  <si>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</si>
  <si>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</si>
  <si>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</si>
  <si>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</si>
  <si>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</si>
  <si>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</si>
  <si>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</si>
  <si>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</si>
  <si>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</si>
  <si>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</si>
  <si>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</si>
  <si>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</si>
  <si>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</si>
  <si>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</si>
  <si>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</si>
  <si>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</si>
  <si>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</si>
  <si>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</si>
  <si>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</si>
  <si>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</si>
  <si>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</si>
  <si>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</si>
  <si>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</si>
  <si>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</si>
  <si>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</si>
  <si>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</si>
  <si>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</si>
  <si>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</si>
  <si>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</si>
  <si>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</si>
  <si>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</si>
  <si>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</si>
  <si>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</si>
  <si>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</si>
  <si>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</si>
  <si>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</si>
  <si>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</si>
  <si>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</si>
  <si>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</si>
  <si>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</si>
  <si>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</si>
  <si>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</si>
  <si>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</si>
  <si>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</si>
  <si>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</si>
  <si>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</si>
  <si>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</si>
  <si>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</si>
  <si>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</si>
  <si>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</si>
  <si>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</si>
  <si>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</si>
  <si>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</si>
  <si>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</si>
  <si>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</si>
  <si>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</si>
  <si>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</si>
  <si>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</si>
  <si>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</si>
  <si>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</si>
  <si>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</si>
  <si>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</si>
  <si>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</si>
  <si>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</si>
  <si>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</si>
  <si>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</si>
  <si>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</si>
  <si>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</si>
  <si>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</si>
  <si>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</si>
  <si>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</si>
  <si>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</si>
  <si>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</si>
  <si>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</si>
  <si>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</si>
  <si>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</si>
  <si>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</si>
  <si>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</si>
  <si>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</si>
  <si>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</si>
  <si>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</si>
  <si>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</si>
  <si>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</si>
  <si>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</si>
  <si>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</si>
  <si>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</si>
  <si>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</si>
  <si>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</si>
  <si>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</si>
  <si>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</si>
  <si>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</si>
  <si>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</si>
  <si>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</si>
  <si>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</si>
  <si>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</si>
  <si>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</si>
  <si>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</si>
  <si>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</si>
  <si>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</si>
  <si>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</si>
  <si>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</si>
  <si>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</si>
  <si>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</si>
  <si>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</si>
  <si>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</si>
  <si>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</si>
  <si>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</si>
  <si>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</si>
  <si>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</si>
  <si>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</si>
  <si>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</si>
  <si>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</si>
  <si>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</si>
  <si>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</si>
  <si>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</si>
  <si>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</si>
  <si>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</si>
  <si>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</si>
  <si>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</si>
  <si>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</si>
  <si>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</si>
  <si>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</si>
  <si>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</si>
  <si>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</si>
  <si>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</si>
  <si>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</si>
  <si>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</si>
  <si>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</si>
  <si>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</si>
  <si>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</si>
  <si>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</si>
  <si>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</si>
  <si>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</si>
  <si>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</si>
  <si>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</si>
  <si>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</si>
  <si>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</si>
  <si>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</si>
  <si>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</si>
  <si>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</si>
  <si>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</si>
  <si>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</si>
  <si>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</si>
  <si>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</si>
  <si>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</si>
  <si>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</si>
  <si>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</si>
  <si>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</si>
  <si>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</si>
  <si>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</si>
  <si>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</si>
  <si>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</si>
  <si>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</si>
  <si>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</si>
  <si>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</si>
  <si>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</si>
  <si>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</si>
  <si>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</si>
  <si>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</si>
  <si>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</si>
  <si>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</si>
  <si>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</si>
  <si>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</si>
  <si>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</si>
  <si>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</si>
  <si>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</si>
  <si>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</si>
  <si>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</si>
  <si>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</si>
  <si>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</si>
  <si>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</si>
  <si>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</si>
  <si>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</si>
  <si>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</si>
  <si>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</si>
  <si>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</si>
  <si>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</si>
  <si>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</si>
  <si>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</si>
  <si>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</si>
  <si>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</si>
  <si>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</si>
  <si>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</si>
  <si>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</si>
  <si>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</si>
  <si>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</si>
  <si>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</si>
  <si>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</si>
  <si>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</si>
  <si>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</si>
  <si>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</si>
  <si>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</si>
  <si>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</si>
  <si>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</si>
  <si>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</si>
  <si>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</si>
  <si>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</si>
  <si>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</si>
  <si>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</si>
  <si>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</si>
  <si>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</si>
  <si>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</si>
  <si>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</si>
  <si>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</si>
  <si>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</si>
  <si>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</si>
  <si>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</si>
  <si>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</si>
  <si>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</si>
  <si>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</si>
  <si>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</si>
  <si>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</si>
  <si>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</si>
  <si>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</si>
  <si>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</si>
  <si>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</si>
  <si>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</si>
  <si>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</si>
  <si>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</si>
  <si>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</si>
  <si>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</si>
  <si>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</si>
  <si>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</si>
  <si>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</si>
  <si>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</si>
  <si>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</si>
  <si>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</si>
  <si>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</si>
  <si>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</si>
  <si>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</si>
  <si>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</si>
  <si>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</si>
  <si>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</si>
  <si>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</si>
  <si>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</si>
  <si>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</si>
  <si>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</si>
  <si>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</si>
  <si>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</si>
  <si>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</si>
  <si>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</si>
  <si>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</si>
  <si>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</si>
  <si>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</si>
  <si>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</si>
  <si>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</si>
  <si>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</si>
  <si>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</si>
  <si>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</si>
  <si>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</si>
  <si>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</si>
  <si>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</si>
  <si>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</si>
  <si>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</si>
  <si>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</si>
  <si>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</si>
  <si>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</si>
  <si>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</si>
  <si>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</si>
  <si>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</si>
  <si>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</si>
  <si>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</si>
  <si>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</si>
  <si>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</si>
  <si>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</si>
  <si>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</si>
  <si>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</si>
  <si>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</si>
  <si>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</si>
  <si>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</si>
  <si>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</si>
  <si>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</si>
  <si>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</si>
  <si>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</si>
  <si>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</si>
  <si>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</si>
  <si>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</si>
  <si>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</si>
  <si>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</si>
  <si>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</si>
  <si>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</si>
  <si>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</si>
  <si>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</si>
  <si>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</si>
  <si>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</si>
  <si>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</si>
  <si>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</si>
  <si>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</si>
  <si>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</si>
  <si>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</si>
  <si>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</si>
  <si>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</si>
  <si>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</si>
  <si>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</si>
  <si>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</si>
  <si>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</si>
  <si>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</si>
  <si>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</si>
  <si>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</si>
  <si>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</si>
  <si>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</si>
  <si>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</si>
  <si>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</si>
  <si>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</si>
  <si>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</si>
  <si>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</si>
  <si>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</si>
  <si>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</si>
  <si>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</si>
  <si>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</si>
  <si>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</si>
  <si>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</si>
  <si>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</si>
  <si>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</si>
  <si>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</si>
  <si>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</si>
  <si>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</si>
  <si>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</si>
  <si>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</si>
  <si>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</si>
  <si>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</si>
  <si>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</si>
  <si>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</si>
  <si>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</si>
  <si>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</si>
  <si>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</si>
  <si>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</si>
  <si>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</si>
  <si>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</si>
  <si>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</si>
  <si>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</si>
  <si>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</si>
  <si>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</si>
  <si>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</si>
  <si>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</si>
  <si>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</si>
  <si>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</si>
  <si>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</si>
  <si>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</si>
  <si>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</si>
  <si>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</si>
  <si>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</si>
  <si>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</si>
  <si>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</si>
  <si>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</si>
  <si>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</si>
  <si>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</si>
  <si>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</si>
  <si>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</si>
  <si>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</si>
  <si>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</si>
  <si>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</si>
  <si>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</si>
  <si>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</si>
  <si>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</si>
  <si>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</si>
  <si>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</si>
  <si>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</si>
  <si>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</si>
  <si>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</si>
  <si>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</si>
  <si>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</si>
  <si>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</si>
  <si>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</si>
  <si>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</si>
  <si>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</si>
  <si>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</si>
  <si>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</si>
  <si>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</si>
  <si>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</si>
  <si>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</si>
  <si>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</si>
  <si>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</si>
  <si>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</si>
  <si>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</si>
  <si>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</si>
  <si>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</si>
  <si>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</si>
  <si>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</si>
  <si>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</si>
  <si>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</si>
  <si>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</si>
  <si>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</si>
  <si>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</si>
  <si>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</si>
  <si>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</si>
  <si>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</si>
  <si>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</si>
  <si>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</si>
  <si>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</si>
  <si>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</si>
  <si>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</si>
  <si>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</si>
  <si>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</si>
  <si>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</si>
  <si>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</si>
  <si>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</si>
  <si>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</si>
  <si>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</si>
  <si>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</si>
  <si>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</si>
  <si>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</si>
  <si>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</si>
  <si>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</si>
  <si>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</si>
  <si>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</si>
  <si>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</si>
  <si>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</si>
  <si>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</si>
  <si>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</si>
  <si>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</si>
  <si>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</si>
  <si>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</si>
  <si>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</si>
  <si>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</si>
  <si>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</si>
  <si>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</si>
  <si>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</si>
  <si>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</si>
  <si>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</si>
  <si>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</si>
  <si>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</si>
  <si>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</si>
  <si>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</si>
  <si>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</si>
  <si>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</si>
  <si>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</si>
  <si>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</si>
  <si>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</si>
  <si>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</si>
  <si>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</si>
  <si>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</si>
  <si>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</si>
  <si>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</si>
  <si>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</si>
  <si>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</si>
  <si>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</si>
  <si>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</si>
  <si>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</si>
  <si>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</si>
  <si>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</si>
  <si>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</si>
  <si>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</si>
  <si>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</si>
  <si>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</si>
  <si>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</si>
  <si>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</si>
  <si>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</si>
  <si>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</si>
  <si>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</si>
  <si>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</si>
  <si>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</si>
  <si>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</si>
  <si>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</si>
  <si>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</si>
  <si>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</si>
  <si>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</si>
  <si>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</si>
  <si>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</si>
  <si>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</si>
  <si>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</si>
  <si>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</si>
  <si>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</si>
  <si>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</si>
  <si>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</si>
  <si>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</si>
  <si>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</si>
  <si>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</si>
  <si>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</si>
  <si>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</si>
  <si>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</si>
  <si>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</si>
  <si>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</si>
  <si>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</si>
  <si>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</si>
  <si>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</si>
  <si>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</si>
  <si>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</si>
  <si>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</si>
  <si>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</si>
  <si>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</si>
  <si>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</si>
  <si>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</si>
  <si>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</si>
  <si>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</si>
  <si>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</si>
  <si>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</si>
  <si>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</si>
  <si>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</si>
  <si>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</si>
  <si>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</si>
  <si>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</si>
  <si>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</si>
  <si>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</si>
  <si>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</si>
  <si>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</si>
  <si>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</si>
  <si>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</si>
  <si>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</si>
  <si>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</si>
  <si>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</si>
  <si>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</si>
  <si>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</si>
  <si>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</si>
  <si>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</si>
  <si>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</si>
  <si>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</si>
  <si>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</si>
  <si>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</si>
  <si>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</si>
  <si>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</si>
  <si>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</si>
  <si>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</si>
  <si>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</si>
  <si>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</si>
  <si>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</si>
  <si>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</si>
  <si>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</si>
  <si>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</si>
  <si>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</si>
  <si>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</si>
  <si>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</si>
  <si>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</si>
  <si>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</si>
  <si>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</si>
  <si>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</si>
  <si>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</si>
  <si>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</si>
  <si>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</si>
  <si>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</si>
  <si>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</si>
  <si>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</si>
  <si>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</si>
  <si>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</si>
  <si>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</si>
  <si>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</si>
  <si>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</si>
  <si>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</si>
  <si>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</si>
  <si>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</si>
  <si>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</si>
  <si>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</si>
  <si>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</si>
  <si>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</si>
  <si>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</si>
  <si>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</si>
  <si>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</si>
  <si>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</si>
  <si>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</si>
  <si>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</si>
  <si>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</si>
  <si>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</si>
  <si>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</si>
  <si>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</si>
  <si>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</si>
  <si>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</si>
  <si>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</si>
  <si>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</si>
  <si>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</si>
  <si>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</si>
  <si>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</si>
  <si>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</si>
  <si>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</si>
  <si>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</si>
  <si>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</si>
  <si>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</si>
  <si>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</si>
  <si>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</si>
  <si>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</si>
  <si>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</si>
  <si>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</si>
  <si>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</si>
  <si>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</si>
  <si>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</si>
  <si>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</si>
  <si>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</si>
  <si>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</si>
  <si>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</si>
  <si>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</si>
  <si>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</si>
  <si>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</si>
  <si>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</si>
  <si>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</si>
  <si>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</si>
  <si>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</si>
  <si>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</si>
  <si>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</si>
  <si>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</si>
  <si>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</si>
  <si>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</si>
  <si>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</si>
  <si>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</si>
  <si>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</si>
  <si>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</si>
  <si>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</si>
  <si>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</si>
  <si>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</si>
  <si>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</si>
  <si>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</si>
  <si>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</si>
  <si>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</si>
  <si>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</si>
  <si>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</si>
  <si>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</si>
  <si>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</si>
  <si>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</si>
  <si>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</si>
  <si>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</si>
  <si>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</si>
  <si>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</si>
  <si>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</si>
  <si>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</si>
  <si>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</si>
  <si>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</si>
  <si>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</si>
  <si>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</si>
  <si>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</si>
  <si>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</si>
  <si>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</si>
  <si>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</si>
  <si>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</si>
  <si>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</si>
  <si>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</si>
  <si>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</si>
  <si>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</si>
  <si>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</si>
  <si>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</si>
  <si>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</si>
  <si>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</si>
  <si>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</si>
  <si>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</si>
  <si>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</si>
  <si>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</si>
  <si>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</si>
  <si>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</si>
  <si>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</si>
  <si>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</si>
  <si>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</si>
  <si>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</si>
  <si>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</si>
  <si>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</si>
  <si>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</si>
  <si>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</si>
  <si>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</si>
  <si>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</si>
  <si>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</si>
  <si>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</si>
  <si>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</si>
  <si>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</si>
  <si>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</si>
  <si>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</si>
  <si>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</si>
  <si>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</si>
  <si>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</si>
  <si>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</si>
  <si>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</si>
  <si>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</si>
  <si>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</si>
  <si>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</si>
  <si>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</si>
  <si>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</si>
  <si>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</si>
  <si>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</si>
  <si>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</si>
  <si>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</si>
  <si>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</si>
  <si>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</si>
  <si>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</si>
  <si>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</si>
  <si>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</si>
  <si>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</si>
  <si>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</si>
  <si>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</si>
  <si>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</si>
  <si>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</si>
  <si>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</si>
  <si>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</si>
  <si>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</si>
  <si>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</si>
  <si>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</si>
  <si>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</si>
  <si>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</si>
  <si>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</si>
  <si>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</si>
  <si>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</si>
  <si>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</si>
  <si>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</si>
  <si>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</si>
  <si>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</si>
  <si>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</si>
  <si>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</si>
  <si>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</si>
  <si>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</si>
  <si>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</si>
  <si>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</si>
  <si>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</si>
  <si>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</si>
  <si>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</si>
  <si>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</si>
  <si>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</si>
  <si>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</si>
  <si>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</si>
  <si>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</si>
  <si>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</si>
  <si>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</si>
  <si>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</si>
  <si>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</si>
  <si>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</si>
  <si>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</si>
  <si>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</si>
  <si>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</si>
  <si>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</si>
  <si>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</si>
  <si>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</si>
  <si>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</si>
  <si>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</si>
  <si>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</si>
  <si>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</si>
  <si>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</si>
  <si>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</si>
  <si>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</si>
  <si>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</si>
  <si>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</si>
  <si>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</si>
  <si>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</si>
  <si>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</si>
  <si>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</si>
  <si>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</si>
  <si>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</si>
  <si>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</si>
  <si>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</si>
  <si>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</si>
  <si>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</si>
  <si>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</si>
  <si>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</si>
  <si>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</si>
  <si>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</si>
  <si>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</si>
  <si>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</si>
  <si>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</si>
  <si>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</si>
  <si>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</si>
  <si>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</si>
  <si>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</si>
  <si>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</si>
  <si>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</si>
  <si>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</si>
  <si>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</si>
  <si>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</si>
  <si>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</si>
  <si>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</si>
  <si>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</si>
  <si>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</si>
  <si>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</si>
  <si>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</si>
  <si>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</si>
  <si>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</si>
  <si>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</si>
  <si>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</si>
  <si>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</si>
  <si>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</si>
  <si>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</si>
  <si>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</si>
  <si>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</si>
  <si>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</si>
  <si>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</si>
  <si>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</si>
  <si>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</si>
  <si>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</si>
  <si>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</si>
  <si>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</si>
  <si>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</si>
  <si>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</si>
  <si>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</si>
  <si>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</si>
  <si>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</si>
  <si>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</si>
  <si>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</si>
  <si>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</si>
  <si>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</si>
  <si>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</si>
  <si>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</si>
  <si>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</si>
  <si>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</si>
  <si>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</si>
  <si>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</si>
  <si>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</si>
  <si>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</si>
  <si>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</si>
  <si>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</si>
  <si>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</si>
  <si>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</si>
  <si>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</si>
  <si>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</si>
  <si>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</si>
  <si>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</si>
  <si>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</si>
  <si>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</si>
  <si>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</si>
  <si>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</si>
  <si>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</si>
  <si>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</si>
  <si>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</si>
  <si>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</si>
  <si>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</si>
  <si>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</si>
  <si>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</si>
  <si>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</si>
  <si>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</si>
  <si>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</si>
  <si>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</si>
  <si>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</si>
  <si>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</si>
  <si>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</si>
  <si>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</si>
  <si>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</si>
  <si>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</si>
  <si>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</si>
  <si>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</si>
  <si>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</si>
  <si>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</si>
  <si>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</si>
  <si>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</si>
  <si>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</si>
  <si>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</si>
  <si>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</si>
  <si>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</si>
  <si>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</si>
  <si>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</si>
  <si>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</si>
  <si>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</si>
  <si>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</si>
  <si>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</si>
  <si>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</si>
  <si>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</si>
  <si>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</si>
  <si>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</si>
  <si>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</si>
  <si>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</si>
  <si>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</si>
  <si>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</si>
  <si>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</si>
  <si>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</si>
  <si>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</si>
  <si>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</si>
  <si>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</si>
  <si>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</si>
  <si>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</si>
  <si>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</si>
  <si>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</si>
  <si>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</si>
  <si>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</si>
  <si>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</si>
  <si>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</si>
  <si>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</si>
  <si>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</si>
  <si>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</si>
  <si>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</si>
  <si>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</si>
  <si>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</si>
  <si>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</si>
  <si>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</si>
  <si>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</si>
  <si>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</si>
  <si>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</si>
  <si>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</si>
  <si>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</si>
  <si>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</si>
  <si>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</si>
  <si>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</si>
  <si>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</si>
  <si>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</si>
  <si>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</si>
  <si>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</si>
  <si>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</si>
  <si>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</si>
  <si>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</si>
  <si>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</si>
  <si>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</si>
  <si>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</si>
  <si>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</si>
  <si>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</si>
  <si>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</si>
  <si>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</si>
  <si>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</si>
  <si>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</si>
  <si>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</si>
  <si>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</si>
  <si>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</si>
  <si>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</si>
  <si>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</si>
  <si>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</si>
  <si>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</si>
  <si>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</si>
  <si>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</si>
  <si>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</si>
  <si>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</si>
  <si>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</si>
  <si>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</si>
  <si>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</si>
  <si>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</si>
  <si>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</si>
  <si>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</si>
  <si>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</si>
  <si>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</si>
  <si>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</si>
  <si>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</si>
  <si>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</si>
  <si>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</si>
  <si>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</si>
  <si>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</si>
  <si>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</si>
  <si>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</si>
  <si>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</si>
  <si>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</si>
  <si>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</si>
  <si>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</si>
  <si>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</si>
  <si>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</si>
  <si>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</si>
  <si>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</si>
  <si>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</si>
  <si>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</si>
  <si>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</si>
  <si>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</si>
  <si>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</si>
  <si>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</si>
  <si>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</si>
  <si>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</si>
  <si>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</si>
  <si>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</si>
  <si>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</si>
  <si>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</si>
  <si>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</si>
  <si>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</si>
  <si>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</si>
  <si>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</si>
  <si>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</si>
  <si>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</si>
  <si>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</si>
  <si>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</si>
  <si>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</si>
  <si>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</si>
  <si>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</si>
  <si>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</si>
  <si>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</si>
  <si>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</si>
  <si>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</si>
  <si>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</si>
  <si>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</si>
  <si>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</si>
  <si>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</si>
  <si>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</si>
  <si>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</si>
  <si>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</si>
  <si>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</si>
  <si>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</si>
  <si>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</si>
  <si>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</si>
  <si>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</si>
  <si>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</si>
  <si>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</si>
  <si>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</si>
  <si>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</si>
  <si>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</si>
  <si>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</si>
  <si>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</si>
  <si>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</si>
  <si>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</si>
  <si>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</si>
  <si>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</si>
  <si>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</si>
  <si>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</si>
  <si>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</si>
  <si>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</si>
  <si>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</si>
  <si>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</si>
  <si>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</si>
  <si>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</si>
  <si>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</si>
  <si>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</si>
  <si>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</si>
  <si>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</si>
  <si>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</si>
  <si>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</si>
  <si>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</si>
  <si>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</si>
  <si>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</si>
  <si>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</si>
  <si>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</si>
  <si>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</si>
  <si>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</si>
  <si>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</si>
  <si>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</si>
  <si>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</si>
  <si>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</si>
  <si>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</si>
  <si>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</si>
  <si>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</si>
  <si>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</si>
  <si>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</si>
  <si>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</si>
  <si>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</si>
  <si>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</si>
  <si>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</si>
  <si>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</si>
  <si>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</si>
  <si>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</si>
  <si>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</si>
  <si>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</si>
  <si>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</si>
  <si>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</si>
  <si>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</si>
  <si>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</si>
  <si>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</si>
  <si>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</si>
  <si>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</si>
  <si>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</si>
  <si>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</si>
  <si>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</si>
  <si>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</si>
  <si>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</si>
  <si>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</si>
  <si>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</si>
  <si>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</si>
  <si>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</si>
  <si>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</si>
  <si>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</si>
  <si>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</si>
  <si>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</si>
  <si>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</si>
  <si>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</si>
  <si>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</si>
  <si>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</si>
  <si>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</si>
  <si>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</si>
  <si>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</si>
  <si>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</si>
  <si>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</si>
  <si>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</si>
  <si>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</si>
  <si>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</si>
  <si>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</si>
  <si>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</si>
  <si>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</si>
  <si>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</si>
  <si>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</si>
  <si>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</si>
  <si>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</si>
  <si>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</si>
  <si>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</si>
  <si>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</si>
  <si>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</si>
  <si>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</si>
  <si>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</si>
  <si>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</si>
  <si>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</si>
  <si>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</si>
  <si>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</si>
  <si>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</si>
  <si>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</si>
  <si>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</si>
  <si>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</si>
  <si>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</si>
  <si>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</si>
  <si>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</si>
  <si>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</si>
  <si>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</si>
  <si>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</si>
  <si>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</si>
  <si>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</si>
  <si>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</si>
  <si>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</si>
  <si>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</si>
  <si>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</si>
  <si>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</si>
  <si>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</si>
  <si>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</si>
  <si>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</si>
  <si>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</si>
  <si>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</si>
  <si>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</si>
  <si>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</si>
  <si>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</si>
  <si>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</si>
  <si>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</si>
  <si>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</si>
  <si>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</si>
  <si>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</si>
  <si>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</si>
  <si>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</si>
  <si>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</si>
  <si>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</si>
  <si>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</si>
  <si>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</si>
  <si>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</si>
  <si>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</si>
  <si>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</si>
  <si>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</si>
  <si>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</si>
  <si>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</si>
  <si>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</si>
  <si>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</si>
  <si>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</si>
  <si>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</si>
  <si>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</si>
  <si>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</si>
  <si>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</si>
  <si>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</si>
  <si>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</si>
  <si>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</si>
  <si>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</si>
  <si>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</si>
  <si>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</si>
  <si>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</si>
  <si>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</si>
  <si>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</si>
  <si>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</si>
  <si>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</si>
  <si>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</si>
  <si>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</si>
  <si>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</si>
  <si>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</si>
  <si>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</si>
  <si>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</si>
  <si>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</si>
  <si>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</si>
  <si>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</si>
  <si>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</si>
  <si>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</si>
  <si>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</si>
  <si>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</si>
  <si>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</si>
  <si>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</si>
  <si>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</si>
  <si>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</si>
  <si>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</si>
  <si>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</si>
  <si>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</si>
  <si>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</si>
  <si>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</si>
  <si>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</si>
  <si>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</si>
  <si>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</si>
  <si>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</si>
  <si>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</si>
  <si>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</si>
  <si>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</si>
  <si>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</si>
  <si>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</si>
  <si>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</si>
  <si>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</si>
  <si>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</si>
  <si>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</si>
  <si>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</si>
  <si>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</si>
  <si>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</si>
  <si>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</si>
  <si>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</si>
  <si>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</si>
  <si>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</si>
  <si>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</si>
  <si>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</si>
  <si>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</si>
  <si>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</si>
  <si>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</si>
  <si>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</si>
  <si>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</si>
  <si>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</si>
  <si>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</si>
  <si>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</si>
  <si>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</si>
  <si>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</si>
  <si>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</si>
  <si>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</si>
  <si>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</si>
  <si>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</si>
  <si>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</si>
  <si>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</si>
  <si>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</si>
  <si>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</si>
  <si>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</si>
  <si>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</si>
  <si>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</si>
  <si>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</si>
  <si>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</si>
  <si>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</si>
  <si>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</si>
  <si>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</si>
  <si>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</si>
  <si>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</si>
  <si>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</si>
  <si>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</si>
  <si>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</si>
  <si>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</si>
  <si>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</si>
  <si>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</si>
  <si>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</si>
  <si>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</si>
  <si>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</si>
  <si>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</si>
  <si>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</si>
  <si>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</si>
  <si>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</si>
  <si>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</si>
  <si>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</si>
  <si>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</si>
  <si>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</si>
  <si>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</si>
  <si>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</si>
  <si>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</si>
  <si>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</si>
  <si>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</si>
  <si>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</si>
  <si>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</si>
  <si>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</si>
  <si>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</si>
  <si>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</si>
  <si>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</si>
  <si>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</si>
  <si>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</si>
  <si>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</si>
  <si>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</si>
  <si>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</si>
  <si>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</si>
  <si>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</si>
  <si>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</si>
  <si>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</si>
  <si>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</si>
  <si>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</si>
  <si>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</si>
  <si>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</si>
  <si>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</si>
  <si>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</si>
  <si>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</si>
  <si>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</si>
  <si>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</si>
  <si>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</si>
  <si>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</si>
  <si>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</si>
  <si>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</si>
  <si>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</si>
  <si>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</si>
  <si>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</si>
  <si>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</si>
  <si>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</si>
  <si>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</si>
  <si>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</si>
  <si>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</si>
  <si>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</si>
  <si>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</si>
  <si>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</si>
  <si>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</si>
  <si>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</si>
  <si>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</si>
  <si>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</si>
  <si>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</si>
  <si>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</si>
  <si>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</si>
  <si>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</si>
  <si>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</si>
  <si>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</si>
  <si>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</si>
  <si>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</si>
  <si>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</si>
  <si>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</si>
  <si>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</si>
  <si>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</si>
  <si>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</si>
  <si>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</si>
  <si>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</si>
  <si>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</si>
  <si>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</si>
  <si>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</si>
  <si>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</si>
  <si>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</si>
  <si>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</si>
  <si>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</si>
  <si>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</si>
  <si>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</si>
  <si>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</si>
  <si>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</si>
  <si>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</si>
  <si>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</si>
  <si>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</si>
  <si>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</si>
  <si>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</si>
  <si>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</si>
  <si>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</si>
  <si>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</si>
  <si>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</si>
  <si>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</si>
  <si>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</si>
  <si>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</si>
  <si>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</si>
  <si>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</si>
  <si>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</si>
  <si>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</si>
  <si>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</si>
  <si>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</si>
  <si>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</si>
  <si>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</si>
  <si>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</si>
  <si>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</si>
  <si>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</si>
  <si>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</si>
  <si>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</si>
  <si>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</si>
  <si>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</si>
  <si>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</si>
  <si>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</si>
  <si>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</si>
  <si>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</si>
  <si>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</si>
  <si>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</si>
  <si>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</si>
  <si>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</si>
  <si>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</si>
  <si>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</si>
  <si>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</si>
  <si>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</si>
  <si>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</si>
  <si>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</si>
  <si>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</si>
  <si>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</si>
  <si>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</si>
  <si>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</si>
  <si>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</si>
  <si>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</si>
  <si>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</si>
  <si>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</si>
  <si>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</si>
  <si>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</si>
  <si>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</si>
  <si>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</si>
  <si>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</si>
  <si>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</si>
  <si>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</si>
  <si>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</si>
  <si>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</si>
  <si>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</si>
  <si>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</si>
  <si>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</si>
  <si>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</si>
  <si>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</si>
  <si>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</si>
  <si>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</si>
  <si>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</si>
  <si>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</si>
  <si>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</si>
  <si>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</si>
  <si>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</si>
  <si>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</si>
  <si>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</si>
  <si>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</si>
  <si>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</si>
  <si>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</si>
  <si>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</si>
  <si>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</si>
  <si>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</si>
  <si>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</si>
  <si>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</si>
  <si>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</si>
  <si>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</si>
  <si>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</si>
  <si>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</si>
  <si>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</si>
  <si>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</si>
  <si>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</si>
  <si>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</si>
  <si>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</si>
  <si>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</si>
  <si>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</si>
  <si>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</si>
  <si>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</si>
  <si>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</si>
  <si>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</si>
  <si>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</si>
  <si>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</si>
  <si>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</si>
  <si>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</si>
  <si>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</si>
  <si>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</si>
  <si>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</si>
  <si>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</si>
  <si>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</si>
  <si>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</si>
  <si>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</si>
  <si>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</si>
  <si>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</si>
  <si>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</si>
  <si>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</si>
  <si>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</si>
  <si>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</si>
  <si>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</si>
  <si>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</si>
  <si>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</si>
  <si>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</si>
  <si>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</si>
  <si>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</si>
  <si>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</si>
  <si>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</si>
  <si>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</si>
  <si>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</si>
  <si>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</si>
  <si>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</si>
  <si>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</si>
  <si>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</si>
  <si>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</si>
  <si>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</si>
  <si>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</si>
  <si>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</si>
  <si>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</si>
  <si>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</si>
  <si>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</si>
  <si>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</si>
  <si>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</si>
  <si>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</si>
  <si>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</si>
  <si>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</si>
  <si>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</si>
  <si>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</si>
  <si>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</si>
  <si>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</si>
  <si>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</si>
  <si>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</si>
  <si>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</si>
  <si>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</si>
  <si>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</si>
  <si>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</si>
  <si>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</si>
  <si>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</si>
  <si>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</si>
  <si>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</si>
  <si>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</si>
  <si>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</si>
  <si>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</si>
  <si>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</si>
  <si>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</si>
  <si>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</si>
  <si>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</si>
  <si>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</si>
  <si>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</si>
  <si>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</si>
  <si>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</si>
  <si>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</si>
  <si>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</si>
  <si>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</si>
  <si>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</si>
  <si>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</si>
  <si>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</si>
  <si>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</si>
  <si>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</si>
  <si>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</si>
  <si>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</si>
  <si>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</si>
  <si>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</si>
  <si>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</si>
  <si>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</si>
  <si>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</si>
  <si>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</si>
  <si>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</si>
  <si>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</si>
  <si>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</si>
  <si>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</si>
  <si>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</si>
  <si>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</si>
  <si>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</si>
  <si>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</si>
  <si>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</si>
  <si>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</si>
  <si>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</si>
  <si>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</si>
  <si>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</si>
  <si>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</si>
  <si>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</si>
  <si>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</si>
  <si>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</si>
  <si>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</si>
  <si>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</si>
  <si>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</si>
  <si>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</si>
  <si>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</si>
  <si>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</si>
  <si>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</si>
  <si>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</si>
  <si>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</si>
  <si>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</si>
  <si>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</si>
  <si>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</si>
  <si>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</si>
  <si>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</si>
  <si>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</si>
  <si>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</si>
  <si>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</si>
  <si>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</si>
  <si>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</si>
  <si>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</si>
  <si>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</si>
  <si>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</si>
  <si>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</si>
  <si>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</si>
  <si>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</si>
  <si>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</si>
  <si>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</si>
  <si>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</si>
  <si>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</si>
  <si>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</si>
  <si>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</si>
  <si>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</si>
  <si>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</si>
  <si>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</si>
  <si>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</si>
  <si>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</si>
  <si>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</si>
  <si>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</si>
  <si>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</si>
  <si>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</si>
  <si>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</si>
  <si>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</si>
  <si>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</si>
  <si>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</si>
  <si>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</si>
  <si>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</si>
  <si>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</si>
  <si>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</si>
  <si>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</si>
  <si>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</si>
  <si>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</si>
  <si>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</si>
  <si>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</si>
  <si>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</si>
  <si>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</si>
  <si>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</si>
  <si>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</si>
  <si>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</si>
  <si>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</si>
  <si>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</si>
  <si>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</si>
  <si>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</si>
  <si>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</si>
  <si>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</si>
  <si>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</si>
  <si>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</si>
  <si>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</si>
  <si>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</si>
  <si>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</si>
  <si>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</si>
  <si>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</si>
  <si>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</si>
  <si>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</si>
  <si>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</si>
  <si>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</si>
  <si>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</si>
  <si>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</si>
  <si>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</si>
  <si>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</si>
  <si>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</si>
  <si>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</si>
  <si>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</si>
  <si>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</si>
  <si>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</si>
  <si>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</si>
  <si>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</si>
  <si>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</si>
  <si>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</si>
  <si>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</si>
  <si>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</si>
  <si>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</si>
  <si>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</si>
  <si>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</si>
  <si>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</si>
  <si>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</si>
  <si>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</si>
  <si>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</si>
  <si>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</si>
  <si>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</si>
  <si>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</si>
  <si>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</si>
  <si>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</si>
  <si>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</si>
  <si>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</si>
  <si>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</si>
  <si>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</si>
  <si>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</si>
  <si>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</si>
  <si>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</si>
  <si>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</si>
  <si>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</si>
  <si>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</si>
  <si>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</si>
  <si>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</si>
  <si>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</si>
  <si>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</si>
  <si>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</si>
  <si>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</si>
  <si>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</si>
  <si>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</si>
  <si>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</si>
  <si>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</si>
  <si>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</si>
  <si>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</si>
  <si>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</si>
  <si>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</si>
  <si>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</si>
  <si>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</si>
  <si>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</si>
  <si>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</si>
  <si>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</si>
  <si>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</si>
  <si>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</si>
  <si>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</si>
  <si>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</si>
  <si>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</si>
  <si>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</si>
  <si>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</si>
  <si>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</si>
  <si>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</si>
  <si>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</si>
  <si>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</si>
  <si>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</si>
  <si>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</si>
  <si>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</si>
  <si>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</si>
  <si>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</si>
  <si>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</si>
  <si>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</si>
  <si>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</si>
  <si>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</si>
  <si>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</si>
  <si>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</si>
  <si>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</si>
  <si>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</si>
  <si>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</si>
  <si>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</si>
  <si>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</si>
  <si>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</si>
  <si>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</si>
  <si>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</si>
  <si>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</si>
  <si>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</si>
  <si>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</si>
  <si>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</si>
  <si>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</si>
  <si>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</si>
  <si>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</si>
  <si>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</si>
  <si>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</si>
  <si>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</si>
  <si>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</si>
  <si>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</si>
  <si>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</si>
  <si>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</si>
  <si>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</si>
  <si>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</si>
  <si>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</si>
  <si>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</si>
  <si>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</si>
  <si>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</si>
  <si>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</si>
  <si>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</si>
  <si>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</si>
  <si>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</si>
  <si>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</si>
  <si>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</si>
  <si>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</si>
  <si>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</si>
  <si>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</si>
  <si>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</si>
  <si>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</si>
  <si>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</si>
  <si>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</si>
  <si>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</si>
  <si>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</si>
  <si>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</si>
  <si>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</si>
  <si>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</si>
  <si>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</si>
  <si>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</si>
  <si>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</si>
  <si>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</si>
  <si>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</si>
  <si>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</si>
  <si>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</si>
  <si>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</si>
  <si>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</si>
  <si>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</si>
  <si>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</si>
  <si>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</si>
  <si>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</si>
  <si>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</si>
  <si>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</si>
  <si>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</si>
  <si>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</si>
  <si>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</si>
  <si>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</si>
  <si>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</si>
  <si>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</si>
  <si>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</si>
  <si>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</si>
  <si>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</si>
  <si>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</si>
  <si>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</si>
  <si>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</si>
  <si>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</si>
  <si>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</si>
  <si>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</si>
  <si>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</si>
  <si>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</si>
  <si>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</si>
  <si>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</si>
  <si>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</si>
  <si>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</si>
  <si>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</si>
  <si>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</si>
  <si>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</si>
  <si>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</si>
  <si>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</si>
  <si>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</si>
  <si>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</si>
  <si>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</si>
  <si>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</si>
  <si>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</si>
  <si>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</si>
  <si>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</si>
  <si>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</si>
  <si>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</si>
  <si>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</si>
  <si>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</si>
  <si>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</si>
  <si>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</si>
  <si>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</si>
  <si>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</si>
  <si>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</si>
  <si>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</si>
  <si>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</si>
  <si>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</si>
  <si>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</si>
  <si>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</si>
  <si>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</si>
  <si>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</si>
  <si>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</si>
  <si>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</si>
  <si>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</si>
  <si>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</si>
  <si>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</si>
  <si>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</si>
  <si>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</si>
  <si>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</si>
  <si>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</si>
  <si>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</si>
  <si>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</si>
  <si>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</si>
  <si>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</si>
  <si>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</si>
  <si>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</si>
  <si>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</si>
  <si>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</si>
  <si>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</si>
  <si>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</si>
  <si>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</si>
  <si>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</si>
  <si>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</si>
  <si>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</si>
  <si>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</si>
  <si>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</si>
  <si>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</si>
  <si>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</si>
  <si>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</si>
  <si>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</si>
  <si>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</si>
  <si>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</si>
  <si>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</si>
  <si>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</si>
  <si>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</si>
  <si>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</si>
  <si>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</si>
  <si>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</si>
  <si>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</si>
  <si>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</si>
  <si>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</si>
  <si>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</si>
  <si>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</si>
  <si>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</si>
  <si>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</si>
  <si>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</si>
  <si>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</si>
  <si>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</si>
  <si>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</si>
  <si>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</si>
  <si>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</si>
  <si>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</si>
  <si>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</si>
  <si>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</si>
  <si>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</si>
  <si>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</si>
  <si>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</si>
  <si>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</si>
  <si>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</si>
  <si>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</si>
  <si>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</si>
  <si>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</si>
  <si>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</si>
  <si>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</si>
  <si>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</si>
  <si>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</si>
  <si>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</si>
  <si>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</si>
  <si>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</si>
  <si>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</si>
  <si>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</si>
  <si>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</si>
  <si>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</si>
  <si>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</si>
  <si>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</si>
  <si>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</si>
  <si>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</si>
  <si>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</si>
  <si>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</si>
  <si>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</si>
  <si>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</si>
  <si>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</si>
  <si>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</si>
  <si>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</si>
  <si>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</si>
  <si>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</si>
  <si>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</si>
  <si>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</si>
  <si>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</si>
  <si>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</si>
  <si>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</si>
  <si>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</si>
  <si>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</si>
  <si>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</si>
  <si>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</si>
  <si>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</si>
  <si>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</si>
  <si>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</si>
  <si>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</si>
  <si>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</si>
  <si>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</si>
  <si>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</si>
  <si>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</si>
  <si>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</si>
  <si>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</si>
  <si>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</si>
  <si>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</si>
  <si>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</si>
  <si>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</si>
  <si>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</si>
  <si>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</si>
  <si>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</si>
  <si>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</si>
  <si>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</si>
  <si>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</si>
  <si>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</si>
  <si>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</si>
  <si>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</si>
  <si>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</si>
  <si>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</si>
  <si>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</si>
  <si>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</si>
  <si>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</si>
  <si>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</si>
  <si>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</si>
  <si>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</si>
  <si>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</si>
  <si>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</si>
  <si>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</si>
  <si>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</si>
  <si>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</si>
  <si>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</si>
  <si>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</si>
  <si>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</si>
  <si>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</si>
  <si>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</si>
  <si>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</si>
  <si>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</si>
  <si>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</si>
  <si>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</si>
  <si>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</si>
  <si>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</si>
  <si>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</si>
  <si>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</si>
  <si>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</si>
  <si>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</si>
  <si>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</si>
  <si>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</si>
  <si>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</si>
  <si>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</si>
  <si>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</si>
  <si>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</si>
  <si>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</si>
  <si>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</si>
  <si>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</si>
  <si>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</si>
  <si>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</si>
  <si>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</si>
  <si>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</si>
  <si>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</si>
  <si>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</si>
  <si>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</si>
  <si>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</si>
  <si>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</si>
  <si>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</si>
  <si>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</si>
  <si>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</si>
  <si>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</si>
  <si>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</si>
  <si>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</si>
  <si>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</si>
  <si>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</si>
  <si>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</si>
  <si>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</si>
  <si>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</si>
  <si>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</si>
  <si>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</si>
  <si>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</si>
  <si>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</si>
  <si>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</si>
  <si>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</si>
  <si>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</si>
  <si>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</si>
  <si>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</si>
  <si>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</si>
  <si>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</si>
  <si>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</si>
  <si>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</si>
  <si>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</si>
  <si>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</si>
  <si>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</si>
  <si>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</si>
  <si>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</si>
  <si>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</si>
  <si>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</si>
  <si>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</si>
  <si>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</si>
  <si>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</si>
  <si>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</si>
  <si>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</si>
  <si>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</si>
  <si>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</si>
  <si>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</si>
  <si>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</si>
  <si>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</si>
  <si>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</si>
  <si>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</si>
  <si>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</si>
  <si>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</si>
  <si>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</si>
  <si>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</si>
  <si>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</si>
  <si>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</si>
  <si>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</si>
  <si>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</si>
  <si>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</si>
  <si>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</si>
  <si>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</si>
  <si>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</si>
  <si>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</si>
  <si>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</si>
  <si>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</si>
  <si>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</si>
  <si>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</si>
  <si>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</si>
  <si>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</si>
  <si>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</si>
  <si>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</si>
  <si>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</si>
  <si>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</si>
  <si>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</si>
  <si>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</si>
  <si>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</si>
  <si>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</si>
  <si>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</si>
  <si>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</si>
  <si>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</si>
  <si>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</si>
  <si>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</si>
  <si>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</si>
  <si>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</si>
  <si>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</si>
  <si>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</si>
  <si>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</si>
  <si>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</si>
  <si>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</si>
  <si>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</si>
  <si>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</si>
  <si>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</si>
  <si>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</si>
  <si>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</si>
  <si>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</si>
  <si>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</si>
  <si>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</si>
  <si>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</si>
  <si>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</si>
  <si>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</si>
  <si>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</si>
  <si>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</si>
  <si>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</si>
  <si>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</si>
  <si>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</si>
  <si>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</si>
  <si>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</si>
  <si>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</si>
  <si>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</si>
  <si>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</si>
  <si>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</si>
  <si>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</si>
  <si>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</si>
  <si>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</si>
  <si>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</si>
  <si>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</si>
  <si>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</si>
  <si>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</si>
  <si>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</si>
  <si>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</si>
  <si>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</si>
  <si>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</si>
  <si>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</si>
  <si>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</si>
  <si>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</si>
  <si>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</si>
  <si>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</si>
  <si>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</si>
  <si>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</si>
  <si>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</si>
  <si>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</si>
  <si>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</si>
  <si>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</si>
  <si>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</si>
  <si>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</si>
  <si>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</si>
  <si>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</si>
  <si>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</si>
  <si>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</si>
  <si>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</si>
  <si>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</si>
  <si>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</si>
  <si>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</si>
  <si>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</si>
  <si>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</si>
  <si>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</si>
  <si>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</si>
  <si>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</si>
  <si>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</si>
  <si>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</si>
  <si>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</si>
  <si>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</si>
  <si>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</si>
  <si>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</si>
  <si>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</si>
  <si>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</si>
  <si>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</si>
  <si>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</si>
  <si>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</si>
  <si>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</si>
  <si>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</si>
  <si>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</si>
  <si>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</si>
  <si>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</si>
  <si>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</si>
  <si>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</si>
  <si>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</si>
  <si>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</si>
  <si>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</si>
  <si>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</si>
  <si>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</si>
  <si>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</si>
  <si>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</si>
  <si>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</si>
  <si>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</si>
  <si>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</si>
  <si>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</si>
  <si>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</si>
  <si>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</si>
  <si>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</si>
  <si>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</si>
  <si>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</si>
  <si>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</si>
  <si>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</si>
  <si>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</si>
  <si>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</si>
  <si>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</si>
  <si>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</si>
  <si>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</si>
  <si>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</si>
  <si>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</si>
  <si>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</si>
  <si>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</si>
  <si>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</si>
  <si>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</si>
  <si>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</si>
  <si>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</si>
  <si>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</si>
  <si>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</si>
  <si>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</si>
  <si>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</si>
  <si>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</si>
  <si>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</si>
  <si>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</si>
  <si>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</si>
  <si>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</si>
  <si>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</si>
  <si>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</si>
  <si>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</si>
  <si>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</si>
  <si>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</si>
  <si>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</si>
  <si>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</si>
  <si>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</si>
  <si>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</si>
  <si>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</si>
  <si>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</si>
  <si>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</si>
  <si>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</si>
  <si>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</si>
  <si>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</si>
  <si>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</si>
  <si>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</si>
  <si>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</si>
  <si>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</si>
  <si>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</si>
  <si>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</si>
  <si>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</si>
  <si>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</si>
  <si>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</si>
  <si>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</si>
  <si>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</si>
  <si>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</si>
  <si>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</si>
  <si>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</si>
  <si>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</si>
  <si>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</si>
  <si>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</si>
  <si>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</si>
  <si>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</si>
  <si>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</si>
  <si>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</si>
  <si>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</si>
  <si>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</si>
  <si>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</si>
  <si>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</si>
  <si>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</si>
  <si>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</si>
  <si>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</si>
  <si>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</si>
  <si>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</si>
  <si>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</si>
  <si>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</si>
  <si>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</si>
  <si>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</si>
  <si>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</si>
  <si>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</si>
  <si>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</si>
  <si>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</si>
  <si>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</si>
  <si>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</si>
  <si>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</si>
  <si>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</si>
  <si>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</si>
  <si>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</si>
  <si>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</si>
  <si>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</si>
  <si>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</si>
  <si>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</si>
  <si>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</si>
  <si>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</si>
  <si>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</si>
  <si>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</si>
  <si>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</si>
  <si>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</si>
  <si>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</si>
  <si>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</si>
  <si>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</si>
  <si>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</si>
  <si>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</si>
  <si>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</si>
  <si>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</si>
  <si>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</si>
  <si>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</si>
  <si>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</si>
  <si>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</si>
  <si>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</si>
  <si>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</si>
  <si>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</si>
  <si>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</si>
  <si>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</si>
  <si>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</si>
  <si>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</si>
  <si>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</si>
  <si>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</si>
  <si>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</si>
  <si>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</si>
  <si>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</si>
  <si>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</si>
  <si>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</si>
  <si>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</si>
  <si>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</si>
  <si>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</si>
  <si>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</si>
  <si>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</si>
  <si>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</si>
  <si>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</si>
  <si>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</si>
  <si>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</si>
  <si>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</si>
  <si>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</si>
  <si>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</si>
  <si>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</si>
  <si>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</si>
  <si>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</si>
  <si>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</si>
  <si>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</si>
  <si>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</si>
  <si>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</si>
  <si>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</si>
  <si>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</si>
  <si>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</si>
  <si>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</si>
  <si>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</si>
  <si>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</si>
  <si>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</si>
  <si>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</si>
  <si>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</si>
  <si>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</si>
  <si>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</si>
  <si>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</si>
  <si>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</si>
  <si>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</si>
  <si>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</si>
  <si>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</si>
  <si>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</si>
  <si>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</si>
  <si>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</si>
  <si>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</si>
  <si>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</si>
  <si>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</si>
  <si>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</si>
  <si>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</si>
  <si>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</si>
  <si>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</si>
  <si>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</si>
  <si>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</si>
  <si>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</si>
  <si>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</si>
  <si>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</si>
  <si>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</si>
  <si>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</si>
  <si>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</si>
  <si>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</si>
  <si>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</si>
  <si>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</si>
  <si>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</si>
  <si>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</si>
  <si>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</si>
  <si>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</si>
  <si>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</si>
  <si>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</si>
  <si>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</si>
  <si>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</si>
  <si>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</si>
  <si>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</si>
  <si>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</si>
  <si>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</si>
  <si>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</si>
  <si>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</si>
  <si>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</si>
  <si>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</si>
  <si>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</si>
  <si>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</si>
  <si>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</si>
  <si>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</si>
  <si>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</si>
  <si>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</si>
  <si>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</si>
  <si>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</si>
  <si>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</si>
  <si>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</si>
  <si>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</si>
  <si>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</si>
  <si>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</si>
  <si>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</si>
  <si>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</si>
  <si>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</si>
  <si>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</si>
  <si>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</si>
  <si>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</si>
  <si>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</si>
  <si>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</si>
  <si>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</si>
  <si>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</si>
  <si>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</si>
  <si>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</si>
  <si>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</si>
  <si>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</si>
  <si>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</si>
  <si>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</si>
  <si>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</si>
  <si>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</si>
  <si>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</si>
  <si>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</si>
  <si>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</si>
  <si>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</si>
  <si>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</si>
  <si>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</si>
  <si>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</si>
  <si>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</si>
  <si>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</si>
  <si>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</si>
  <si>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</si>
  <si>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</si>
  <si>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</si>
  <si>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</si>
  <si>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</si>
  <si>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</si>
  <si>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</si>
  <si>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</si>
  <si>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</si>
  <si>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</si>
  <si>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</si>
  <si>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</si>
  <si>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</si>
  <si>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</si>
  <si>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</si>
  <si>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</si>
  <si>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</si>
  <si>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</si>
  <si>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</si>
  <si>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</si>
  <si>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</si>
  <si>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</si>
  <si>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</si>
  <si>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</si>
  <si>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</si>
  <si>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</si>
  <si>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</si>
  <si>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</si>
  <si>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</si>
  <si>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</si>
  <si>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</si>
  <si>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</si>
  <si>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</si>
  <si>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</si>
  <si>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</si>
  <si>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</si>
  <si>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</si>
  <si>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</si>
  <si>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</si>
  <si>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</si>
  <si>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</si>
  <si>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</si>
  <si>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</si>
  <si>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</si>
  <si>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</si>
  <si>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</si>
  <si>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</si>
  <si>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</si>
  <si>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</si>
  <si>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</si>
  <si>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</si>
  <si>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</si>
  <si>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</si>
  <si>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</si>
  <si>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</si>
  <si>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</si>
  <si>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</si>
  <si>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</si>
  <si>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</si>
  <si>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</si>
  <si>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</si>
  <si>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</si>
  <si>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</si>
  <si>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</si>
  <si>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</si>
  <si>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</si>
  <si>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</si>
  <si>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</si>
  <si>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</si>
  <si>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</si>
  <si>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</si>
  <si>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</si>
  <si>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</si>
  <si>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</si>
  <si>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</si>
  <si>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</si>
  <si>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</si>
  <si>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</si>
  <si>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</si>
  <si>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</si>
  <si>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</si>
  <si>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</si>
  <si>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</si>
  <si>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</si>
  <si>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</si>
  <si>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</si>
  <si>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</si>
  <si>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</si>
  <si>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</si>
  <si>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</si>
  <si>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</si>
  <si>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</si>
  <si>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</si>
  <si>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</si>
  <si>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</si>
  <si>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</si>
  <si>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</si>
  <si>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</si>
  <si>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</si>
  <si>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</si>
  <si>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</si>
  <si>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</si>
  <si>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</si>
  <si>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</si>
  <si>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</si>
  <si>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</si>
  <si>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</si>
  <si>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</si>
  <si>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</si>
  <si>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</si>
  <si>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</si>
  <si>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</si>
  <si>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</si>
  <si>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</si>
  <si>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</si>
  <si>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</si>
  <si>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</si>
  <si>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</si>
  <si>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</si>
  <si>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</si>
  <si>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</si>
  <si>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</si>
  <si>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</si>
  <si>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</si>
  <si>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</si>
  <si>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</si>
  <si>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</si>
  <si>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</si>
  <si>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</si>
  <si>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</si>
  <si>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</si>
  <si>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</si>
  <si>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</si>
  <si>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</si>
  <si>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</si>
  <si>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</si>
  <si>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</si>
  <si>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</si>
  <si>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</si>
  <si>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</si>
  <si>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</si>
  <si>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</si>
  <si>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</si>
  <si>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</si>
  <si>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</si>
  <si>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</si>
  <si>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</si>
  <si>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</si>
  <si>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</si>
  <si>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</si>
  <si>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</si>
  <si>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</si>
  <si>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</si>
  <si>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</si>
  <si>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</si>
  <si>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</si>
  <si>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</si>
  <si>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</si>
  <si>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</si>
  <si>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</si>
  <si>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</si>
  <si>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</si>
  <si>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</si>
  <si>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</si>
  <si>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</si>
  <si>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</si>
  <si>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</si>
  <si>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</si>
  <si>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</si>
  <si>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</si>
  <si>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</si>
  <si>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</si>
  <si>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</si>
  <si>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</si>
  <si>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</si>
  <si>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</si>
  <si>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</si>
  <si>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</si>
  <si>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</si>
  <si>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</si>
  <si>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</si>
  <si>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</si>
  <si>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</si>
  <si>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</si>
  <si>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</si>
  <si>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</si>
  <si>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</si>
  <si>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</si>
  <si>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</si>
  <si>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</si>
  <si>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</si>
  <si>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</si>
  <si>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</si>
  <si>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</si>
  <si>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</si>
  <si>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</si>
  <si>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</si>
  <si>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</si>
  <si>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</si>
  <si>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</si>
  <si>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</si>
  <si>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</si>
  <si>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</si>
  <si>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</si>
  <si>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</si>
  <si>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</si>
  <si>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</si>
  <si>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</si>
  <si>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</si>
  <si>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</si>
  <si>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</si>
  <si>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</si>
  <si>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</si>
  <si>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</si>
  <si>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</si>
  <si>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</si>
  <si>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</si>
  <si>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</si>
  <si>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</si>
  <si>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</si>
  <si>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</si>
  <si>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</si>
  <si>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</si>
  <si>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</si>
  <si>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</si>
  <si>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</si>
  <si>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</si>
  <si>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</si>
  <si>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</si>
  <si>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</si>
  <si>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</si>
  <si>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</si>
  <si>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</si>
  <si>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</si>
  <si>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</si>
  <si>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</si>
  <si>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</si>
  <si>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</si>
  <si>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</si>
  <si>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</si>
  <si>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</si>
  <si>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</si>
  <si>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</si>
  <si>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</si>
  <si>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</si>
  <si>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</si>
  <si>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</si>
  <si>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</si>
  <si>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</si>
  <si>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</si>
  <si>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</si>
  <si>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</si>
  <si>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</si>
  <si>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</si>
  <si>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</si>
  <si>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</si>
  <si>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</si>
  <si>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</si>
  <si>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</si>
  <si>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</si>
  <si>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</si>
  <si>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</si>
  <si>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</si>
  <si>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</si>
  <si>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</si>
  <si>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</si>
  <si>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</si>
  <si>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</si>
  <si>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</si>
  <si>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</si>
  <si>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</si>
  <si>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</si>
  <si>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</si>
  <si>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</si>
  <si>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</si>
  <si>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</si>
  <si>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</si>
  <si>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</si>
  <si>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</si>
  <si>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</si>
  <si>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</si>
  <si>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</si>
  <si>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</si>
  <si>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</si>
  <si>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</si>
  <si>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</si>
  <si>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</si>
  <si>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</si>
  <si>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</si>
  <si>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</si>
  <si>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</si>
  <si>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</si>
  <si>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</si>
  <si>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</si>
  <si>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</si>
  <si>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</si>
  <si>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</si>
  <si>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</si>
  <si>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</si>
  <si>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</si>
  <si>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</si>
  <si>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</si>
  <si>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</si>
  <si>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</si>
  <si>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</si>
  <si>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</si>
  <si>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</si>
  <si>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</si>
  <si>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</si>
  <si>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</si>
  <si>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</si>
  <si>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</si>
  <si>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</si>
  <si>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</si>
  <si>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</si>
  <si>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</si>
  <si>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</si>
  <si>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</si>
  <si>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</si>
  <si>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</si>
  <si>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</si>
  <si>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</si>
  <si>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</si>
  <si>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</si>
  <si>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</si>
  <si>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</si>
  <si>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</si>
  <si>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</si>
  <si>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</si>
  <si>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</si>
  <si>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</si>
  <si>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</si>
  <si>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</si>
  <si>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</si>
  <si>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</si>
  <si>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</si>
  <si>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</si>
  <si>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</si>
  <si>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</si>
  <si>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</si>
  <si>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</si>
  <si>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</si>
  <si>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</si>
  <si>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</si>
  <si>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</si>
  <si>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</si>
  <si>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</si>
  <si>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</si>
  <si>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</si>
  <si>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</si>
  <si>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</si>
  <si>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</si>
  <si>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</si>
  <si>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</si>
  <si>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</si>
  <si>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</si>
  <si>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</si>
  <si>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</si>
  <si>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</si>
  <si>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</si>
  <si>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</si>
  <si>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</si>
  <si>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</si>
  <si>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</si>
  <si>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</si>
  <si>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</si>
  <si>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</si>
  <si>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</si>
  <si>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</si>
  <si>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</si>
  <si>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</si>
  <si>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</si>
  <si>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</si>
  <si>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</si>
  <si>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</si>
  <si>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</si>
  <si>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</si>
  <si>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</si>
  <si>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</si>
  <si>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</si>
  <si>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</si>
  <si>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</si>
  <si>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</si>
  <si>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</si>
  <si>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</si>
  <si>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</si>
  <si>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</si>
  <si>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</si>
  <si>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</si>
  <si>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</si>
  <si>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</si>
  <si>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</si>
  <si>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</si>
  <si>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</si>
  <si>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</si>
  <si>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</si>
  <si>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</si>
  <si>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</si>
  <si>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</si>
  <si>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</si>
  <si>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</si>
  <si>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</si>
  <si>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</si>
  <si>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</si>
  <si>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</si>
  <si>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</si>
  <si>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</si>
  <si>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</si>
  <si>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</si>
  <si>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</si>
  <si>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</si>
  <si>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</si>
  <si>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</si>
  <si>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</si>
  <si>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</si>
  <si>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</si>
  <si>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</si>
  <si>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</si>
  <si>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</si>
  <si>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</si>
  <si>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</si>
  <si>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</si>
  <si>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</si>
  <si>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</si>
  <si>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</si>
  <si>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</si>
  <si>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</si>
  <si>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</si>
  <si>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</si>
  <si>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</si>
  <si>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</si>
  <si>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</si>
  <si>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</si>
  <si>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</si>
  <si>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</si>
  <si>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</si>
  <si>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</si>
  <si>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</si>
  <si>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</si>
  <si>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</si>
  <si>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</si>
  <si>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</si>
  <si>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</si>
  <si>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</si>
  <si>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</si>
  <si>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</si>
  <si>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</si>
  <si>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</si>
  <si>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</si>
  <si>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</si>
  <si>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</si>
  <si>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</si>
  <si>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</si>
  <si>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</si>
  <si>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</si>
  <si>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</si>
  <si>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</si>
  <si>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</si>
  <si>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</si>
  <si>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</si>
  <si>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</si>
  <si>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</si>
  <si>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</si>
  <si>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</si>
  <si>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</si>
  <si>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</si>
  <si>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</si>
  <si>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</si>
  <si>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</si>
  <si>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</si>
  <si>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</si>
  <si>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</si>
  <si>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</si>
  <si>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</si>
  <si>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</si>
  <si>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</si>
  <si>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</si>
  <si>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</si>
  <si>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</si>
  <si>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</si>
  <si>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</si>
  <si>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</si>
  <si>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</si>
  <si>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</si>
  <si>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</si>
  <si>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</si>
  <si>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</si>
  <si>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</si>
  <si>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</si>
  <si>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</si>
  <si>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</si>
  <si>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</si>
  <si>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</si>
  <si>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</si>
  <si>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</si>
  <si>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</si>
  <si>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</si>
  <si>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</si>
  <si>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</si>
  <si>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</si>
  <si>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</si>
  <si>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</si>
  <si>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</si>
  <si>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</si>
  <si>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</si>
  <si>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</si>
  <si>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</si>
  <si>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</si>
  <si>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</si>
  <si>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</si>
  <si>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</si>
  <si>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</si>
  <si>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</si>
  <si>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</si>
  <si>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</si>
  <si>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</si>
  <si>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</si>
  <si>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</si>
  <si>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</si>
  <si>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</si>
  <si>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</si>
  <si>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</si>
  <si>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</si>
  <si>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</si>
  <si>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</si>
  <si>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</si>
  <si>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</si>
  <si>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</si>
  <si>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</si>
  <si>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</si>
  <si>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</si>
  <si>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</si>
  <si>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</si>
  <si>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</si>
  <si>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</si>
  <si>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</si>
  <si>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</si>
  <si>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</si>
  <si>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</si>
  <si>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</si>
  <si>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</si>
  <si>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</si>
  <si>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</si>
  <si>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</si>
  <si>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</si>
  <si>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</si>
  <si>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</si>
  <si>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</si>
  <si>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</si>
  <si>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</si>
  <si>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</si>
  <si>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</si>
  <si>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</si>
  <si>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</si>
  <si>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</si>
  <si>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</si>
  <si>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</si>
  <si>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</si>
  <si>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</si>
  <si>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</si>
  <si>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</si>
  <si>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</si>
  <si>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</si>
  <si>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</si>
  <si>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</si>
  <si>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</si>
  <si>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</si>
  <si>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</si>
  <si>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</si>
  <si>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</si>
  <si>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</si>
  <si>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</si>
  <si>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</si>
  <si>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</si>
  <si>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</si>
  <si>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</si>
  <si>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</si>
  <si>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</si>
  <si>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</si>
  <si>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</si>
  <si>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</si>
  <si>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</si>
  <si>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</si>
  <si>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</si>
  <si>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</si>
  <si>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</si>
  <si>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</si>
  <si>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</si>
  <si>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</si>
  <si>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</si>
  <si>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</si>
  <si>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</si>
  <si>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</si>
  <si>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</si>
  <si>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</si>
  <si>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</si>
  <si>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</si>
  <si>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</si>
  <si>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</si>
  <si>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</si>
  <si>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</si>
  <si>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</si>
  <si>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</si>
  <si>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</si>
  <si>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</si>
  <si>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</si>
  <si>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</si>
  <si>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</si>
  <si>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</si>
  <si>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</si>
  <si>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</si>
  <si>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</si>
  <si>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</si>
  <si>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</si>
  <si>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</si>
  <si>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</si>
  <si>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</si>
  <si>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</si>
  <si>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</si>
  <si>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</si>
  <si>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</si>
  <si>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</si>
  <si>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</si>
  <si>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</si>
  <si>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</si>
  <si>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</si>
  <si>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</si>
  <si>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</si>
  <si>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</si>
  <si>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</si>
  <si>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</si>
  <si>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</si>
  <si>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</si>
  <si>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</si>
  <si>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</si>
  <si>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</si>
  <si>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</si>
  <si>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</si>
  <si>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</si>
  <si>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</si>
  <si>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</si>
  <si>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</si>
  <si>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</si>
  <si>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</si>
  <si>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</si>
  <si>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</si>
  <si>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</si>
  <si>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</si>
  <si>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</si>
  <si>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</si>
  <si>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</si>
  <si>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</si>
  <si>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</si>
  <si>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</si>
  <si>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</si>
  <si>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</si>
  <si>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</si>
  <si>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</si>
  <si>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</si>
  <si>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</si>
  <si>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</si>
  <si>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</si>
  <si>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</si>
  <si>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</si>
  <si>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</si>
  <si>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</si>
  <si>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</si>
  <si>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</si>
  <si>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</si>
  <si>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</si>
  <si>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</si>
  <si>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</si>
  <si>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</si>
  <si>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</si>
  <si>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</si>
  <si>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</si>
  <si>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</si>
  <si>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</si>
  <si>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</si>
  <si>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</si>
  <si>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</si>
  <si>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</si>
  <si>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</si>
  <si>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</si>
  <si>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</si>
  <si>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</si>
  <si>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</si>
  <si>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</si>
  <si>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</si>
  <si>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</si>
  <si>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</si>
  <si>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</si>
  <si>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</si>
  <si>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</si>
  <si>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</si>
  <si>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</si>
  <si>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</si>
  <si>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</si>
  <si>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</si>
  <si>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</si>
  <si>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</si>
  <si>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</si>
  <si>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</si>
  <si>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</si>
  <si>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</si>
  <si>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</si>
  <si>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</si>
  <si>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</si>
  <si>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</si>
  <si>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</si>
  <si>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</si>
  <si>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</si>
  <si>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</si>
  <si>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</si>
  <si>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</si>
  <si>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</si>
  <si>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</si>
  <si>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</si>
  <si>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</si>
  <si>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</si>
  <si>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</si>
  <si>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</si>
  <si>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</si>
  <si>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</si>
  <si>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</si>
  <si>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</si>
  <si>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</si>
  <si>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</si>
  <si>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</si>
  <si>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</si>
  <si>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</si>
  <si>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</si>
  <si>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</si>
  <si>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</si>
  <si>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</si>
  <si>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</si>
  <si>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</si>
  <si>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</si>
  <si>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</si>
  <si>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</si>
  <si>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</si>
  <si>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</si>
  <si>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</si>
  <si>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</si>
  <si>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</si>
  <si>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</si>
  <si>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</si>
  <si>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</si>
  <si>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</si>
  <si>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</si>
  <si>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</si>
  <si>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</si>
  <si>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</si>
  <si>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</si>
  <si>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</si>
  <si>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</si>
  <si>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</si>
  <si>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</si>
  <si>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</si>
  <si>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</si>
  <si>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</si>
  <si>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</si>
  <si>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</si>
  <si>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</si>
  <si>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</si>
  <si>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</si>
  <si>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</si>
  <si>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</si>
  <si>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</si>
  <si>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</si>
  <si>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</si>
  <si>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</si>
  <si>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</si>
  <si>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</si>
  <si>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</si>
  <si>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</si>
  <si>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</si>
  <si>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</si>
  <si>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</si>
  <si>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</si>
  <si>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</si>
  <si>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</si>
  <si>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</si>
  <si>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</si>
  <si>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</si>
  <si>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</si>
  <si>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</si>
  <si>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</si>
  <si>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</si>
  <si>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</si>
  <si>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</si>
  <si>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</si>
  <si>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</si>
  <si>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</si>
  <si>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</si>
  <si>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</si>
  <si>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</si>
  <si>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</si>
  <si>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</si>
  <si>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</si>
  <si>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</si>
  <si>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</si>
  <si>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</si>
  <si>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</si>
  <si>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</si>
  <si>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</si>
  <si>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</si>
  <si>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</si>
  <si>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</si>
  <si>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</si>
  <si>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</si>
  <si>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</si>
  <si>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</si>
  <si>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</si>
  <si>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</si>
  <si>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</si>
  <si>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</si>
  <si>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</si>
  <si>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</si>
  <si>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</si>
  <si>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</si>
  <si>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</si>
  <si>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</si>
  <si>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</si>
  <si>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</si>
  <si>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</si>
  <si>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</si>
  <si>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</si>
  <si>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</si>
  <si>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</si>
  <si>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</si>
  <si>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</si>
  <si>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</si>
  <si>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</si>
  <si>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</si>
  <si>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</si>
  <si>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</si>
  <si>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</si>
  <si>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</si>
  <si>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</si>
  <si>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</si>
  <si>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</si>
  <si>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</si>
  <si>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</si>
  <si>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</si>
  <si>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</si>
  <si>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</si>
  <si>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</si>
  <si>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</si>
  <si>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</si>
  <si>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</si>
  <si>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</si>
  <si>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</si>
  <si>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</si>
  <si>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</si>
  <si>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</si>
  <si>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</si>
  <si>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</si>
  <si>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</si>
  <si>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</si>
  <si>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</si>
  <si>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</si>
  <si>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</si>
  <si>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</si>
  <si>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</si>
  <si>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</si>
  <si>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</si>
  <si>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</si>
  <si>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</si>
  <si>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</si>
  <si>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</si>
  <si>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</si>
  <si>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</si>
  <si>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</si>
  <si>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</si>
  <si>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</si>
  <si>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</si>
  <si>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</si>
  <si>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</si>
  <si>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</si>
  <si>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</si>
  <si>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</si>
  <si>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</si>
  <si>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</si>
  <si>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</si>
  <si>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</si>
  <si>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</si>
  <si>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</si>
  <si>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</si>
  <si>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</si>
  <si>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</si>
  <si>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</si>
  <si>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</si>
  <si>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</si>
  <si>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</si>
  <si>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</si>
  <si>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</si>
  <si>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</si>
  <si>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</si>
  <si>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</si>
  <si>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</si>
  <si>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</si>
  <si>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</si>
  <si>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</si>
  <si>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</si>
  <si>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</si>
  <si>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</si>
  <si>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</si>
  <si>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</si>
  <si>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</si>
  <si>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</si>
  <si>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</si>
  <si>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</si>
  <si>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</si>
  <si>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</si>
  <si>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</si>
  <si>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</si>
  <si>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</si>
  <si>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</si>
  <si>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</si>
  <si>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</si>
  <si>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</si>
  <si>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</si>
  <si>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</si>
  <si>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</si>
  <si>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</si>
  <si>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</si>
  <si>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</si>
  <si>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</si>
  <si>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</si>
  <si>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</si>
  <si>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</si>
  <si>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</si>
  <si>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</si>
  <si>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</si>
  <si>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</si>
  <si>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</si>
  <si>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</si>
  <si>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</si>
  <si>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</si>
  <si>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</si>
  <si>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</si>
  <si>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</si>
  <si>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</si>
  <si>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</si>
  <si>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</si>
  <si>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</si>
  <si>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</si>
  <si>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</si>
  <si>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</si>
  <si>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</si>
  <si>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</si>
  <si>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</si>
  <si>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</si>
  <si>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</si>
  <si>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</si>
  <si>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</si>
  <si>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</si>
  <si>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</si>
  <si>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</si>
  <si>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</si>
  <si>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</si>
  <si>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</si>
  <si>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</si>
  <si>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</si>
  <si>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</si>
  <si>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</si>
  <si>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</si>
  <si>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</si>
  <si>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</si>
  <si>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</si>
  <si>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</si>
  <si>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</si>
  <si>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</si>
  <si>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</si>
  <si>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</si>
  <si>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</si>
  <si>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</si>
  <si>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</si>
  <si>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</si>
  <si>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</si>
  <si>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</si>
  <si>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</si>
  <si>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</si>
  <si>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</si>
  <si>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</si>
  <si>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</si>
  <si>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</si>
  <si>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</si>
  <si>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</si>
  <si>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</si>
  <si>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</si>
  <si>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</si>
  <si>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</si>
  <si>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</si>
  <si>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</si>
  <si>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</si>
  <si>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</si>
  <si>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</si>
  <si>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</si>
  <si>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</si>
  <si>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</si>
  <si>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</si>
  <si>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</si>
  <si>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</si>
  <si>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</si>
  <si>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</si>
  <si>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</si>
  <si>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</si>
  <si>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</si>
  <si>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</si>
  <si>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</si>
  <si>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</si>
  <si>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</si>
  <si>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</si>
  <si>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</si>
  <si>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</si>
  <si>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</si>
  <si>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</si>
  <si>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</si>
  <si>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</si>
  <si>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</si>
  <si>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</si>
  <si>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</si>
  <si>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</si>
  <si>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</si>
  <si>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</si>
  <si>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</si>
  <si>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</si>
  <si>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</si>
  <si>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</si>
  <si>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</si>
  <si>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</si>
  <si>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</si>
  <si>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</si>
  <si>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</si>
  <si>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</si>
  <si>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</si>
  <si>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</si>
  <si>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</si>
  <si>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</si>
  <si>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</si>
  <si>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</si>
  <si>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</si>
  <si>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</si>
  <si>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</si>
  <si>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</si>
  <si>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</si>
  <si>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</si>
  <si>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</si>
  <si>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</si>
  <si>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</si>
  <si>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</si>
  <si>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</si>
  <si>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</si>
  <si>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</si>
  <si>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</si>
  <si>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</si>
  <si>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</si>
  <si>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</si>
  <si>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</si>
  <si>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</si>
  <si>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</si>
  <si>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</si>
  <si>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</si>
  <si>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</si>
  <si>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</si>
  <si>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</si>
  <si>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</si>
  <si>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</si>
  <si>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</si>
  <si>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</si>
  <si>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</si>
  <si>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</si>
  <si>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</si>
  <si>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</si>
  <si>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</si>
  <si>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</si>
  <si>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</si>
  <si>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</si>
  <si>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</si>
  <si>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</si>
  <si>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</si>
  <si>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</si>
  <si>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</si>
  <si>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</si>
  <si>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</si>
  <si>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</si>
  <si>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</si>
  <si>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</si>
  <si>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</si>
  <si>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</si>
  <si>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</si>
  <si>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</si>
  <si>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</si>
  <si>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</si>
  <si>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</si>
  <si>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</si>
  <si>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</si>
  <si>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</si>
  <si>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</si>
  <si>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</si>
  <si>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</si>
  <si>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</si>
  <si>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</si>
  <si>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</si>
  <si>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</si>
  <si>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</si>
  <si>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</si>
  <si>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</si>
  <si>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</si>
  <si>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</si>
  <si>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</si>
  <si>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</si>
  <si>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</si>
  <si>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</si>
  <si>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</si>
  <si>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</si>
  <si>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</si>
  <si>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</si>
  <si>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</si>
  <si>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</si>
  <si>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</si>
  <si>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</si>
  <si>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</si>
  <si>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</si>
  <si>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</si>
  <si>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</si>
  <si>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</si>
  <si>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</si>
  <si>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</si>
  <si>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</si>
  <si>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</si>
  <si>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</si>
  <si>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</si>
  <si>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</si>
  <si>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</si>
  <si>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</si>
  <si>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</si>
  <si>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</si>
  <si>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</si>
  <si>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</si>
  <si>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</si>
  <si>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</si>
  <si>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</si>
  <si>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</si>
  <si>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</si>
  <si>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</si>
  <si>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</si>
  <si>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</si>
  <si>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</si>
  <si>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</si>
  <si>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</si>
  <si>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</si>
  <si>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</si>
  <si>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</si>
  <si>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</si>
  <si>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</si>
  <si>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</si>
  <si>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</si>
  <si>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</si>
  <si>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</si>
  <si>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</si>
  <si>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</si>
  <si>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</si>
  <si>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</si>
  <si>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</si>
  <si>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</si>
  <si>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</si>
  <si>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</si>
  <si>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</si>
  <si>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</si>
  <si>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</si>
  <si>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</si>
  <si>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</si>
  <si>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</si>
  <si>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</si>
  <si>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</si>
  <si>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</si>
  <si>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</si>
  <si>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</si>
  <si>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</si>
  <si>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</si>
  <si>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</si>
  <si>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</si>
  <si>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</si>
  <si>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</si>
  <si>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</si>
  <si>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</si>
  <si>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</si>
  <si>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</si>
  <si>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</si>
  <si>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</si>
  <si>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</si>
  <si>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</si>
  <si>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</si>
  <si>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</si>
  <si>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</si>
  <si>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</si>
  <si>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</si>
  <si>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</si>
  <si>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</si>
  <si>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</si>
  <si>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</si>
  <si>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</si>
  <si>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</si>
  <si>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</si>
  <si>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</si>
  <si>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</si>
  <si>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</si>
  <si>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</si>
  <si>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</si>
  <si>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</si>
  <si>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</si>
  <si>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</si>
  <si>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</si>
  <si>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</si>
  <si>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</si>
  <si>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</si>
  <si>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</si>
  <si>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</si>
  <si>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</si>
  <si>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</si>
  <si>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</si>
  <si>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</si>
  <si>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</si>
  <si>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</si>
  <si>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</si>
  <si>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</si>
  <si>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</si>
  <si>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</si>
  <si>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</si>
  <si>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</si>
  <si>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</si>
  <si>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</si>
  <si>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</si>
  <si>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</si>
  <si>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</si>
  <si>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</si>
  <si>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</si>
  <si>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</si>
  <si>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</si>
  <si>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</si>
  <si>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</si>
  <si>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</si>
  <si>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</si>
  <si>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</si>
  <si>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</si>
  <si>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</si>
  <si>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</si>
  <si>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</si>
  <si>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</si>
  <si>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</si>
  <si>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</si>
  <si>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</si>
  <si>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</si>
  <si>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</si>
  <si>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</si>
  <si>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</si>
  <si>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</si>
  <si>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</si>
  <si>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</si>
  <si>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</si>
  <si>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</si>
  <si>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</si>
  <si>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</si>
  <si>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</si>
  <si>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</si>
  <si>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</si>
  <si>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</si>
  <si>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</si>
  <si>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</si>
  <si>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</si>
  <si>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</si>
  <si>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</si>
  <si>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</si>
  <si>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</si>
  <si>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</si>
  <si>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</si>
  <si>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</si>
  <si>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</si>
  <si>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</si>
  <si>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</si>
  <si>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</si>
  <si>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</si>
  <si>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</si>
  <si>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</si>
  <si>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</si>
  <si>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</si>
  <si>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</si>
  <si>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</si>
  <si>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</si>
  <si>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</si>
  <si>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</si>
  <si>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</si>
  <si>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</si>
  <si>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</si>
  <si>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</si>
  <si>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</si>
  <si>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</si>
  <si>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</si>
  <si>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</si>
  <si>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</si>
  <si>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</si>
  <si>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</si>
  <si>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</si>
  <si>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</si>
  <si>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</si>
  <si>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</si>
  <si>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</si>
  <si>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</si>
  <si>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</si>
  <si>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</si>
  <si>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</si>
  <si>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</si>
  <si>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</si>
  <si>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</si>
  <si>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</si>
  <si>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</si>
  <si>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</si>
  <si>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</si>
  <si>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</si>
  <si>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</si>
  <si>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</si>
  <si>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</si>
  <si>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</si>
  <si>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</si>
  <si>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</si>
  <si>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</si>
  <si>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</si>
  <si>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</si>
  <si>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</si>
  <si>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</si>
  <si>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</si>
  <si>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</si>
  <si>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</si>
  <si>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</si>
  <si>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</si>
  <si>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</si>
  <si>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</si>
  <si>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</si>
  <si>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</si>
  <si>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</si>
  <si>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</si>
  <si>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</si>
  <si>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</si>
  <si>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</si>
  <si>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</si>
  <si>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</si>
  <si>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</si>
  <si>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</si>
  <si>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</si>
  <si>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</si>
  <si>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</si>
  <si>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</si>
  <si>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</si>
  <si>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</si>
  <si>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</si>
  <si>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</si>
  <si>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</si>
  <si>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</si>
  <si>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</si>
  <si>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</si>
  <si>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</si>
  <si>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</si>
  <si>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</si>
  <si>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</si>
  <si>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</si>
  <si>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</si>
  <si>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</si>
  <si>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</si>
  <si>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</si>
  <si>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</si>
  <si>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</si>
  <si>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</si>
  <si>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</si>
  <si>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</si>
  <si>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</si>
  <si>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</si>
  <si>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</si>
  <si>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</si>
  <si>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</si>
  <si>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</si>
  <si>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</si>
  <si>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</si>
  <si>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</si>
  <si>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</si>
  <si>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</si>
  <si>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</si>
  <si>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</si>
  <si>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</si>
  <si>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</si>
  <si>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</si>
  <si>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</si>
  <si>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</si>
  <si>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</si>
  <si>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</si>
  <si>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</si>
  <si>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</si>
  <si>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</si>
  <si>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</si>
  <si>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</si>
  <si>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</si>
  <si>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</si>
  <si>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</si>
  <si>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</si>
  <si>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</si>
  <si>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</si>
  <si>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</si>
  <si>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</si>
  <si>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</si>
  <si>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</si>
  <si>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</si>
  <si>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</si>
  <si>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</si>
  <si>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</si>
  <si>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</si>
  <si>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</si>
  <si>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</si>
  <si>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</si>
  <si>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</si>
  <si>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</si>
  <si>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</si>
  <si>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</si>
  <si>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</si>
  <si>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</si>
  <si>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</si>
  <si>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</si>
  <si>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</si>
  <si>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</si>
  <si>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</si>
  <si>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</si>
  <si>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</si>
  <si>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</si>
  <si>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</si>
  <si>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</si>
  <si>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</si>
  <si>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</si>
  <si>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</si>
  <si>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</si>
  <si>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</si>
  <si>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</si>
  <si>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</si>
  <si>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</si>
  <si>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</si>
  <si>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</si>
  <si>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</si>
  <si>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</si>
  <si>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</si>
  <si>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</si>
  <si>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</si>
  <si>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</si>
  <si>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</si>
  <si>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</si>
  <si>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</si>
  <si>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</si>
  <si>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</si>
  <si>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</si>
  <si>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</si>
  <si>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</si>
  <si>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</si>
  <si>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</si>
  <si>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</si>
  <si>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</si>
  <si>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</si>
  <si>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</si>
  <si>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</si>
  <si>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</si>
  <si>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</si>
  <si>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</si>
  <si>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</si>
  <si>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</si>
  <si>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</si>
  <si>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</si>
  <si>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</si>
  <si>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</si>
  <si>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</si>
  <si>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</si>
  <si>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</si>
  <si>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</si>
  <si>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</si>
  <si>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</si>
  <si>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</si>
  <si>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</si>
  <si>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</si>
  <si>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</si>
  <si>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</si>
  <si>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</si>
  <si>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</si>
  <si>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</si>
  <si>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</si>
  <si>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</si>
  <si>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</si>
  <si>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</si>
  <si>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</si>
  <si>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</si>
  <si>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</si>
  <si>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</si>
  <si>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</si>
  <si>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</si>
  <si>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</si>
  <si>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</si>
  <si>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</si>
  <si>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</si>
  <si>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</si>
  <si>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</si>
  <si>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</si>
  <si>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</si>
  <si>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</si>
  <si>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</si>
  <si>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</si>
  <si>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</si>
  <si>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</si>
  <si>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</si>
  <si>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</si>
  <si>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</si>
  <si>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</si>
  <si>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</si>
  <si>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</si>
  <si>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</si>
  <si>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</si>
  <si>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</si>
  <si>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</si>
  <si>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</si>
  <si>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</si>
  <si>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</si>
  <si>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</si>
  <si>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</si>
  <si>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</si>
  <si>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</si>
  <si>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</si>
  <si>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</si>
  <si>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</si>
  <si>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</si>
  <si>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</si>
  <si>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</si>
  <si>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</si>
  <si>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</si>
  <si>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</si>
  <si>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</si>
  <si>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</si>
  <si>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</si>
  <si>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</si>
  <si>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</si>
  <si>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</si>
  <si>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</si>
  <si>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</si>
  <si>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</si>
  <si>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</si>
  <si>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</si>
  <si>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</si>
  <si>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</si>
  <si>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</si>
  <si>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</si>
  <si>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</si>
  <si>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</si>
  <si>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</si>
  <si>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</si>
  <si>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</si>
  <si>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</si>
  <si>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</si>
  <si>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</si>
  <si>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</si>
  <si>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</si>
  <si>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</si>
  <si>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</si>
  <si>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</si>
  <si>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</si>
  <si>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</si>
  <si>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</si>
  <si>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</si>
  <si>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</si>
  <si>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</si>
  <si>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</si>
  <si>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</si>
  <si>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</si>
  <si>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</si>
  <si>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</si>
  <si>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</si>
  <si>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</si>
  <si>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</si>
  <si>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</si>
  <si>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</si>
  <si>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</si>
  <si>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</si>
  <si>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</si>
  <si>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</si>
  <si>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</si>
  <si>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</si>
  <si>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</si>
  <si>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</si>
  <si>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</si>
  <si>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</si>
  <si>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</si>
  <si>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</si>
  <si>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</si>
  <si>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</si>
  <si>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</si>
  <si>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</si>
  <si>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</si>
  <si>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</si>
  <si>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</si>
  <si>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</si>
  <si>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</si>
  <si>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</si>
  <si>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</si>
  <si>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</si>
  <si>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</si>
  <si>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</si>
  <si>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</si>
  <si>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</si>
  <si>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</si>
  <si>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</si>
  <si>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</si>
  <si>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</si>
  <si>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</si>
  <si>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</si>
  <si>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</si>
  <si>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</si>
  <si>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</si>
  <si>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</si>
  <si>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</si>
  <si>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</si>
  <si>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</si>
  <si>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</si>
  <si>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</si>
  <si>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</si>
  <si>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</si>
  <si>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</si>
  <si>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</si>
  <si>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</si>
  <si>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</si>
  <si>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</si>
  <si>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</si>
  <si>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</si>
  <si>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</si>
  <si>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</si>
  <si>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</si>
  <si>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</si>
  <si>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</si>
  <si>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</si>
  <si>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</si>
  <si>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</si>
  <si>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</si>
  <si>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</si>
  <si>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</si>
  <si>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</si>
  <si>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</si>
  <si>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</si>
  <si>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</si>
  <si>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</si>
  <si>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</si>
  <si>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</si>
  <si>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</si>
  <si>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</si>
  <si>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</si>
  <si>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</si>
  <si>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</si>
  <si>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</si>
  <si>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</si>
  <si>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</si>
  <si>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</si>
  <si>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</si>
  <si>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</si>
  <si>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</si>
  <si>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</si>
  <si>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</si>
  <si>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</si>
  <si>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</si>
  <si>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</si>
  <si>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</si>
  <si>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</si>
  <si>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</si>
  <si>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</si>
  <si>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</si>
  <si>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</si>
  <si>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</si>
  <si>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</si>
  <si>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</si>
  <si>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</si>
  <si>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</si>
  <si>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</si>
  <si>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</si>
  <si>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</si>
  <si>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</si>
  <si>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</si>
  <si>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</si>
  <si>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</si>
  <si>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</si>
  <si>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</si>
  <si>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</si>
  <si>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</si>
  <si>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</si>
  <si>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</si>
  <si>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</si>
  <si>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</si>
  <si>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</si>
  <si>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</si>
  <si>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</si>
  <si>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</si>
  <si>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</si>
  <si>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</si>
  <si>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</si>
  <si>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</si>
  <si>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</si>
  <si>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</si>
  <si>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</si>
  <si>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</si>
  <si>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</si>
  <si>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</si>
  <si>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</si>
  <si>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</si>
  <si>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</si>
  <si>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</si>
  <si>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</si>
  <si>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</si>
  <si>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</si>
  <si>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</si>
  <si>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</si>
  <si>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</si>
  <si>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</si>
  <si>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</si>
  <si>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</si>
  <si>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</si>
  <si>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</si>
  <si>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</si>
  <si>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</si>
  <si>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</si>
  <si>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</si>
  <si>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</si>
  <si>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</si>
  <si>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</si>
  <si>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</si>
  <si>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</si>
  <si>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</si>
  <si>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</si>
  <si>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</si>
  <si>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</si>
  <si>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</si>
  <si>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</si>
  <si>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</si>
  <si>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</si>
  <si>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</si>
  <si>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</si>
  <si>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</si>
  <si>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</si>
  <si>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</si>
  <si>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</si>
  <si>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</si>
  <si>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</si>
  <si>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</si>
  <si>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</si>
  <si>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</si>
  <si>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</si>
  <si>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</si>
  <si>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</si>
  <si>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</si>
  <si>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</si>
  <si>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</si>
  <si>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</si>
  <si>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</si>
  <si>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</si>
  <si>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</si>
  <si>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</si>
  <si>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</si>
  <si>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</si>
  <si>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</si>
  <si>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</si>
  <si>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</si>
  <si>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</si>
  <si>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</si>
  <si>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</si>
  <si>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</si>
  <si>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</si>
  <si>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</si>
  <si>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</si>
  <si>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</si>
  <si>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</si>
  <si>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</si>
  <si>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</si>
  <si>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</si>
  <si>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</si>
  <si>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</si>
  <si>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</si>
  <si>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</si>
  <si>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</si>
  <si>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</si>
  <si>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</si>
  <si>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</si>
  <si>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</si>
  <si>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</si>
  <si>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</si>
  <si>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</si>
  <si>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</si>
  <si>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</si>
  <si>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</si>
  <si>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</si>
  <si>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</si>
  <si>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</si>
  <si>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</si>
  <si>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</si>
  <si>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</si>
  <si>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</si>
  <si>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</si>
  <si>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</si>
  <si>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</si>
  <si>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</si>
  <si>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</si>
  <si>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</si>
  <si>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</si>
  <si>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</si>
  <si>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</si>
  <si>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</si>
  <si>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</si>
  <si>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</si>
  <si>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</si>
  <si>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</si>
  <si>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</si>
  <si>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</si>
  <si>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</si>
  <si>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</si>
  <si>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</si>
  <si>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</si>
  <si>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</si>
  <si>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</si>
  <si>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</si>
  <si>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</si>
  <si>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</si>
  <si>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</si>
  <si>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</si>
  <si>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</si>
  <si>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</si>
  <si>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</si>
  <si>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</si>
  <si>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</si>
  <si>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</si>
  <si>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</si>
  <si>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</si>
  <si>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</si>
  <si>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</si>
  <si>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</si>
  <si>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</si>
  <si>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</si>
  <si>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</si>
  <si>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</si>
  <si>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</si>
  <si>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</si>
  <si>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</si>
  <si>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</si>
  <si>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</si>
  <si>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</si>
  <si>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</si>
  <si>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</si>
  <si>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</si>
  <si>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</si>
  <si>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</si>
  <si>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</si>
  <si>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</si>
  <si>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</si>
  <si>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</si>
  <si>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</si>
  <si>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</si>
  <si>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</si>
  <si>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</si>
  <si>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</si>
  <si>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</si>
  <si>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</si>
  <si>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</si>
  <si>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</si>
  <si>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</si>
  <si>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</si>
  <si>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</si>
  <si>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</si>
  <si>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</si>
  <si>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</si>
  <si>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</si>
  <si>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</si>
  <si>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</si>
  <si>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</si>
  <si>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</si>
  <si>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</si>
  <si>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</si>
  <si>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</si>
  <si>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</si>
  <si>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</si>
  <si>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</si>
  <si>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</si>
  <si>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</si>
  <si>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</si>
  <si>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</si>
  <si>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</si>
  <si>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</si>
  <si>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</si>
  <si>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</si>
  <si>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</si>
  <si>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</si>
  <si>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</si>
  <si>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</si>
  <si>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</si>
  <si>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</si>
  <si>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</si>
  <si>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</si>
  <si>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</si>
  <si>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</si>
  <si>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</si>
  <si>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</si>
  <si>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</si>
  <si>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</si>
  <si>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</si>
  <si>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</si>
  <si>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</si>
  <si>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</si>
  <si>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</si>
  <si>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</si>
  <si>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</si>
  <si>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</si>
  <si>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</si>
  <si>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</si>
  <si>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</si>
  <si>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</si>
  <si>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</si>
  <si>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</si>
  <si>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</si>
  <si>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</si>
  <si>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</si>
  <si>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</si>
  <si>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</si>
  <si>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</si>
  <si>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</si>
  <si>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</si>
  <si>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</si>
  <si>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</si>
  <si>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</si>
  <si>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</si>
  <si>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</si>
  <si>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</si>
  <si>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</si>
  <si>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</si>
  <si>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</si>
  <si>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</si>
  <si>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</si>
  <si>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</si>
  <si>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</si>
  <si>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</si>
  <si>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</si>
  <si>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</si>
  <si>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</si>
  <si>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</si>
  <si>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</si>
  <si>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</si>
  <si>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</si>
  <si>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</si>
  <si>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</si>
  <si>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</si>
  <si>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</si>
  <si>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</si>
  <si>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</si>
  <si>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</si>
  <si>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</si>
  <si>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</si>
  <si>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</si>
  <si>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</si>
  <si>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</si>
  <si>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</si>
  <si>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</si>
  <si>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</si>
  <si>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</si>
  <si>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</si>
  <si>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</si>
  <si>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</si>
  <si>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</si>
  <si>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</si>
  <si>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</si>
  <si>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</si>
  <si>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</si>
  <si>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</si>
  <si>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</si>
  <si>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</si>
  <si>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</si>
  <si>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</si>
  <si>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</si>
  <si>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</si>
  <si>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</si>
  <si>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</si>
  <si>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</si>
  <si>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</si>
  <si>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</si>
  <si>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</si>
  <si>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</si>
  <si>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</si>
  <si>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</si>
  <si>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</si>
  <si>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</si>
  <si>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</si>
  <si>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</si>
  <si>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</si>
  <si>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</si>
  <si>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</si>
  <si>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</si>
  <si>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</si>
  <si>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</si>
  <si>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</si>
  <si>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</si>
  <si>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</si>
  <si>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</si>
  <si>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</si>
  <si>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</si>
  <si>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</si>
  <si>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</si>
  <si>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</si>
  <si>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</si>
  <si>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</si>
  <si>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</si>
  <si>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</si>
  <si>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</si>
  <si>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</si>
  <si>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</si>
  <si>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</si>
  <si>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</si>
  <si>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</si>
  <si>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</si>
  <si>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</si>
  <si>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</si>
  <si>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</si>
  <si>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</si>
  <si>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</si>
  <si>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</si>
  <si>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</si>
  <si>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</si>
  <si>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</si>
  <si>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</si>
  <si>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</si>
  <si>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</si>
  <si>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</si>
  <si>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</si>
  <si>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</si>
  <si>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</si>
  <si>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</si>
  <si>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</si>
  <si>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</si>
  <si>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</si>
  <si>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</si>
  <si>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</si>
  <si>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</si>
  <si>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</si>
  <si>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</si>
  <si>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</si>
  <si>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</si>
  <si>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</si>
  <si>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</si>
  <si>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</si>
  <si>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</si>
  <si>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</si>
  <si>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</si>
  <si>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</si>
  <si>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</si>
  <si>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</si>
  <si>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</si>
  <si>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</si>
  <si>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</si>
  <si>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</si>
  <si>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</si>
  <si>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</si>
  <si>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</si>
  <si>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</si>
  <si>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</si>
  <si>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</si>
  <si>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</si>
  <si>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</si>
  <si>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</si>
  <si>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</si>
  <si>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</si>
  <si>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</si>
  <si>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</si>
  <si>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</si>
  <si>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</si>
  <si>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</si>
  <si>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</si>
  <si>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</si>
  <si>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</si>
  <si>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</si>
  <si>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</si>
  <si>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</si>
  <si>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</si>
  <si>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</si>
  <si>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</si>
  <si>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</si>
  <si>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</si>
  <si>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</si>
  <si>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</si>
  <si>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</si>
  <si>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</si>
  <si>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</si>
  <si>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</si>
  <si>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</si>
  <si>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</si>
  <si>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</si>
  <si>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</si>
  <si>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</si>
  <si>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</si>
  <si>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</si>
  <si>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</si>
  <si>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</si>
  <si>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</si>
  <si>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</si>
  <si>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</si>
  <si>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</si>
  <si>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</si>
  <si>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</si>
  <si>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</si>
  <si>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</si>
  <si>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</si>
  <si>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</si>
  <si>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</si>
  <si>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</si>
  <si>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</si>
  <si>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</si>
  <si>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</si>
  <si>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</si>
  <si>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</si>
  <si>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</si>
  <si>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</si>
  <si>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</si>
  <si>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</si>
  <si>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</si>
  <si>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</si>
  <si>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</si>
  <si>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</si>
  <si>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</si>
  <si>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</si>
  <si>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</si>
  <si>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</si>
  <si>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</si>
  <si>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</si>
  <si>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</si>
  <si>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</si>
  <si>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</si>
  <si>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</si>
  <si>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</si>
  <si>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</si>
  <si>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</si>
  <si>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</si>
  <si>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</si>
  <si>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</si>
  <si>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</si>
  <si>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</si>
  <si>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</si>
  <si>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</si>
  <si>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</si>
  <si>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</si>
  <si>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</si>
  <si>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</si>
  <si>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</si>
  <si>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</si>
  <si>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</si>
  <si>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</si>
  <si>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</si>
  <si>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</si>
  <si>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</si>
  <si>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</si>
  <si>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</si>
  <si>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</si>
  <si>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</si>
  <si>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</si>
  <si>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</si>
  <si>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</si>
  <si>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</si>
  <si>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</si>
  <si>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</si>
  <si>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</si>
  <si>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</si>
  <si>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</si>
  <si>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</si>
  <si>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</si>
  <si>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</si>
  <si>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</si>
  <si>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</si>
  <si>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</si>
  <si>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</si>
  <si>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</si>
  <si>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</si>
  <si>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</si>
  <si>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</si>
  <si>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</si>
  <si>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</si>
  <si>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</si>
  <si>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</si>
  <si>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</si>
  <si>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</si>
  <si>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</si>
  <si>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</si>
  <si>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</si>
  <si>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</si>
  <si>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</si>
  <si>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</si>
  <si>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</si>
  <si>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</si>
  <si>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</si>
  <si>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</si>
  <si>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</si>
  <si>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</si>
  <si>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</si>
  <si>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</si>
  <si>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</si>
  <si>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</si>
  <si>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</si>
  <si>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</si>
  <si>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</si>
  <si>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</si>
  <si>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</si>
  <si>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</si>
  <si>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</si>
  <si>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</si>
  <si>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</si>
  <si>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</si>
  <si>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</si>
  <si>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</si>
  <si>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</si>
  <si>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</si>
  <si>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</si>
  <si>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</si>
  <si>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</si>
  <si>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</si>
  <si>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</si>
  <si>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</si>
  <si>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</si>
  <si>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</si>
  <si>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</si>
  <si>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</si>
  <si>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</si>
  <si>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</si>
  <si>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</si>
  <si>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</si>
  <si>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</si>
  <si>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</si>
  <si>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</si>
  <si>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</si>
  <si>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</si>
  <si>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</si>
  <si>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</si>
  <si>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</si>
  <si>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</si>
  <si>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</si>
  <si>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</si>
  <si>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</si>
  <si>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</si>
  <si>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</si>
  <si>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</si>
  <si>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</si>
  <si>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</si>
  <si>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</si>
  <si>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</si>
  <si>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</si>
  <si>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</si>
  <si>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</si>
  <si>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</si>
  <si>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</si>
  <si>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</si>
  <si>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</si>
  <si>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</si>
  <si>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</si>
  <si>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</si>
  <si>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</si>
  <si>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</si>
  <si>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</si>
  <si>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</si>
  <si>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</si>
  <si>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</si>
  <si>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</si>
  <si>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</si>
  <si>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</si>
  <si>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</si>
  <si>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</si>
  <si>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</si>
  <si>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</si>
  <si>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</si>
  <si>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</si>
  <si>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</si>
  <si>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</si>
  <si>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</si>
  <si>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</si>
  <si>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</si>
  <si>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</si>
  <si>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</si>
  <si>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</si>
  <si>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</si>
  <si>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</si>
  <si>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</si>
  <si>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</si>
  <si>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</si>
  <si>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</si>
  <si>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</si>
  <si>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</si>
  <si>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</si>
  <si>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</si>
  <si>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</si>
  <si>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</si>
  <si>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</si>
  <si>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</si>
  <si>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</si>
  <si>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</si>
  <si>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</si>
  <si>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</si>
  <si>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</si>
  <si>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</si>
  <si>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</si>
  <si>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</si>
  <si>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</si>
  <si>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</si>
  <si>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</si>
  <si>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</si>
  <si>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</si>
  <si>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</si>
  <si>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</si>
  <si>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</si>
  <si>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</si>
  <si>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</si>
  <si>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</si>
  <si>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</si>
  <si>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</si>
  <si>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</si>
  <si>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</si>
  <si>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</si>
  <si>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</si>
  <si>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</si>
  <si>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</si>
  <si>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</si>
  <si>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</si>
  <si>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</si>
  <si>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</si>
  <si>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</si>
  <si>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</si>
  <si>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</si>
  <si>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</si>
  <si>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</si>
  <si>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</si>
  <si>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</si>
  <si>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</si>
  <si>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</si>
  <si>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</si>
  <si>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</si>
  <si>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</si>
  <si>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</si>
  <si>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</si>
  <si>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</si>
  <si>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</si>
  <si>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</si>
  <si>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</si>
  <si>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</si>
  <si>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</si>
  <si>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</si>
  <si>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</si>
  <si>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</si>
  <si>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</si>
  <si>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</si>
  <si>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</si>
  <si>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</si>
  <si>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</si>
  <si>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</si>
  <si>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</si>
  <si>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</si>
  <si>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</si>
  <si>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</si>
  <si>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</si>
  <si>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</si>
  <si>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</si>
  <si>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</si>
  <si>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</si>
  <si>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</si>
  <si>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</si>
  <si>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</si>
  <si>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</si>
  <si>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</si>
  <si>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</si>
  <si>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</si>
  <si>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</si>
  <si>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</si>
  <si>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</si>
  <si>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</si>
  <si>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</si>
  <si>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</si>
  <si>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</si>
  <si>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</si>
  <si>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</si>
  <si>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</si>
  <si>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</si>
  <si>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</si>
  <si>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</si>
  <si>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</si>
  <si>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</si>
  <si>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</si>
  <si>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</si>
  <si>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</si>
  <si>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</si>
  <si>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</si>
  <si>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</si>
  <si>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</si>
  <si>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</si>
  <si>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</si>
  <si>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</si>
  <si>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</si>
  <si>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</si>
  <si>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</si>
  <si>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</si>
  <si>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</si>
  <si>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</si>
  <si>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</si>
  <si>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</si>
  <si>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</si>
  <si>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</si>
  <si>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</si>
  <si>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</si>
  <si>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</si>
  <si>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</si>
  <si>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</si>
  <si>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</si>
  <si>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</si>
  <si>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</si>
  <si>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</si>
  <si>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</si>
  <si>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</si>
  <si>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</si>
  <si>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</si>
  <si>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</si>
  <si>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</si>
  <si>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</si>
  <si>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</si>
  <si>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</si>
  <si>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</si>
  <si>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</si>
  <si>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</si>
  <si>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</si>
  <si>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</si>
  <si>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</si>
  <si>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</si>
  <si>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</si>
  <si>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</si>
  <si>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</si>
  <si>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</si>
  <si>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</si>
  <si>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</si>
  <si>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</si>
  <si>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</si>
  <si>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</si>
  <si>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</si>
  <si>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</si>
  <si>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</si>
  <si>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</si>
  <si>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</si>
  <si>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</si>
  <si>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</si>
  <si>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</si>
  <si>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</si>
  <si>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</si>
  <si>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</si>
  <si>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</si>
  <si>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</si>
  <si>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</si>
  <si>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</si>
  <si>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</si>
  <si>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</si>
  <si>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</si>
  <si>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</si>
  <si>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</si>
  <si>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</si>
  <si>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</si>
  <si>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</si>
  <si>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</si>
  <si>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</si>
  <si>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</si>
  <si>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</si>
  <si>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</si>
  <si>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</si>
  <si>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</si>
  <si>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</si>
  <si>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</si>
  <si>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</si>
  <si>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</si>
  <si>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</si>
  <si>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</si>
  <si>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</si>
  <si>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</si>
  <si>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</si>
  <si>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</si>
  <si>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</si>
  <si>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</si>
  <si>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</si>
  <si>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</si>
  <si>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</si>
  <si>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</si>
  <si>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</si>
  <si>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</si>
  <si>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</si>
  <si>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</si>
  <si>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</si>
  <si>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</si>
  <si>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</si>
  <si>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</si>
  <si>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</si>
  <si>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</si>
  <si>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</si>
  <si>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</si>
  <si>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</si>
  <si>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</si>
  <si>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</si>
  <si>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</si>
  <si>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</si>
  <si>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</si>
  <si>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</si>
  <si>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</si>
  <si>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</si>
  <si>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</si>
  <si>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</si>
  <si>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</si>
  <si>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</si>
  <si>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</si>
  <si>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</si>
  <si>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</si>
  <si>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</si>
  <si>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</si>
  <si>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</si>
  <si>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</si>
  <si>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</si>
  <si>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</si>
  <si>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</si>
  <si>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</si>
  <si>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</si>
  <si>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</si>
  <si>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</si>
  <si>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</si>
  <si>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</si>
  <si>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</si>
  <si>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</si>
  <si>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</si>
  <si>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</si>
  <si>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</si>
  <si>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</si>
  <si>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</si>
  <si>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</si>
  <si>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</si>
  <si>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</si>
  <si>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</si>
  <si>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</si>
  <si>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</si>
  <si>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</si>
  <si>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</si>
  <si>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</si>
  <si>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</si>
  <si>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</si>
  <si>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</si>
  <si>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</si>
  <si>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</si>
  <si>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</si>
  <si>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</si>
  <si>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</si>
  <si>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</si>
  <si>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</si>
  <si>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</si>
  <si>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</si>
  <si>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</si>
  <si>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</si>
  <si>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</si>
  <si>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</si>
  <si>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</si>
  <si>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</si>
  <si>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</si>
  <si>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</si>
  <si>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</si>
  <si>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</si>
  <si>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</si>
  <si>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</si>
  <si>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</si>
  <si>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</si>
  <si>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</si>
  <si>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</si>
  <si>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</si>
  <si>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</si>
  <si>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</si>
  <si>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</si>
  <si>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</si>
  <si>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</si>
  <si>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</si>
  <si>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</si>
  <si>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</si>
  <si>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</si>
  <si>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</si>
  <si>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</si>
  <si>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</si>
  <si>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</si>
  <si>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</si>
  <si>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</si>
  <si>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</si>
  <si>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</si>
  <si>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</si>
  <si>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</si>
  <si>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</si>
  <si>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</si>
  <si>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</si>
  <si>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</si>
  <si>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</si>
  <si>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</si>
  <si>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</si>
  <si>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</si>
  <si>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</si>
  <si>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</si>
  <si>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</si>
  <si>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</si>
  <si>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</si>
  <si>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</si>
  <si>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</si>
  <si>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</si>
  <si>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</si>
  <si>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</si>
  <si>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</si>
  <si>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</si>
  <si>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</si>
  <si>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</si>
  <si>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</si>
  <si>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</si>
  <si>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</si>
  <si>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</si>
  <si>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</si>
  <si>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</si>
  <si>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</si>
  <si>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</si>
  <si>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</si>
  <si>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</si>
  <si>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</si>
  <si>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</si>
  <si>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</si>
  <si>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</si>
  <si>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</si>
  <si>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</si>
  <si>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</si>
  <si>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</si>
  <si>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</si>
  <si>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</si>
  <si>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</si>
  <si>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</si>
  <si>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</si>
  <si>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</si>
  <si>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</si>
  <si>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</si>
  <si>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</si>
  <si>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</si>
  <si>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</si>
  <si>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</si>
  <si>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</si>
  <si>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</si>
  <si>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</si>
  <si>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</si>
  <si>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</si>
  <si>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</si>
  <si>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</si>
  <si>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</si>
  <si>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</si>
  <si>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</si>
  <si>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</si>
  <si>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</si>
  <si>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</si>
  <si>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</si>
  <si>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</si>
  <si>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</si>
  <si>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</si>
  <si>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</si>
  <si>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</si>
  <si>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</si>
  <si>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</si>
  <si>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</si>
  <si>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</si>
  <si>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</si>
  <si>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</si>
  <si>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</si>
  <si>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</si>
  <si>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</si>
  <si>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</si>
  <si>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</si>
  <si>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</si>
  <si>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</si>
  <si>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</si>
  <si>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</si>
  <si>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</si>
  <si>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</si>
  <si>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</si>
  <si>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</si>
  <si>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</si>
  <si>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</si>
  <si>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</si>
  <si>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</si>
  <si>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</si>
  <si>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</si>
  <si>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</si>
  <si>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</si>
  <si>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</si>
  <si>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</si>
  <si>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</si>
  <si>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</si>
  <si>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</si>
  <si>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</si>
  <si>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</si>
  <si>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</si>
  <si>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</si>
  <si>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</si>
  <si>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</si>
  <si>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</si>
  <si>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</si>
  <si>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</si>
  <si>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</si>
  <si>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</si>
  <si>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</si>
  <si>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</si>
  <si>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</si>
  <si>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</si>
  <si>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</si>
  <si>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</si>
  <si>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</si>
  <si>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</si>
  <si>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</si>
  <si>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</si>
  <si>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</si>
  <si>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</si>
  <si>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</si>
  <si>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</si>
  <si>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</si>
  <si>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</si>
  <si>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</si>
  <si>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</si>
  <si>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</si>
  <si>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</si>
  <si>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</si>
  <si>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</si>
  <si>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</si>
  <si>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</si>
  <si>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</si>
  <si>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</si>
  <si>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</si>
  <si>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</si>
  <si>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</si>
  <si>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</si>
  <si>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</si>
  <si>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</si>
  <si>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</si>
  <si>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</si>
  <si>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</si>
  <si>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</si>
  <si>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</si>
  <si>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</si>
  <si>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</si>
  <si>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</si>
  <si>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</si>
  <si>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</si>
  <si>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</si>
  <si>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</si>
  <si>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</si>
  <si>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</si>
  <si>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</si>
  <si>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</si>
  <si>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</si>
  <si>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</si>
  <si>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</si>
  <si>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</si>
  <si>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</si>
  <si>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</si>
  <si>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</si>
  <si>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</si>
  <si>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</si>
  <si>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</si>
  <si>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</si>
  <si>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</si>
  <si>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</si>
  <si>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</si>
  <si>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</si>
  <si>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</si>
  <si>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</si>
  <si>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</si>
  <si>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</si>
  <si>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</si>
  <si>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</si>
  <si>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</si>
  <si>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</si>
  <si>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</si>
  <si>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</si>
  <si>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</si>
  <si>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</si>
  <si>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</si>
  <si>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</si>
  <si>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</si>
  <si>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</si>
  <si>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</si>
  <si>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</si>
  <si>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</si>
  <si>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</si>
  <si>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</si>
  <si>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</si>
  <si>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</si>
  <si>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</si>
  <si>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</si>
  <si>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</si>
  <si>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</si>
  <si>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</si>
  <si>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</si>
  <si>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</si>
  <si>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</si>
  <si>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</si>
  <si>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</si>
  <si>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</si>
  <si>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</si>
  <si>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</si>
  <si>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</si>
  <si>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</si>
  <si>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</si>
  <si>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</si>
  <si>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</si>
  <si>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</si>
  <si>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</si>
  <si>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</si>
  <si>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</si>
  <si>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</si>
  <si>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</si>
  <si>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</si>
  <si>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</si>
  <si>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</si>
  <si>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</si>
  <si>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</si>
  <si>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</si>
  <si>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</si>
  <si>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</si>
  <si>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</si>
  <si>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</si>
  <si>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</si>
  <si>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</si>
  <si>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</si>
  <si>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</si>
  <si>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</si>
  <si>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</si>
  <si>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</si>
  <si>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</si>
  <si>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</si>
  <si>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</si>
  <si>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</si>
  <si>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</si>
  <si>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</si>
  <si>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</si>
  <si>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</si>
  <si>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</si>
  <si>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</si>
  <si>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</si>
  <si>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</si>
  <si>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</si>
  <si>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</si>
  <si>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</si>
  <si>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</si>
  <si>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</si>
  <si>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</si>
  <si>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</si>
  <si>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</si>
  <si>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</si>
  <si>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</si>
  <si>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</si>
  <si>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</si>
  <si>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</si>
  <si>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</si>
  <si>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</si>
  <si>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</si>
  <si>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</si>
  <si>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</si>
  <si>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</si>
  <si>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</si>
  <si>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</si>
  <si>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</si>
  <si>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</si>
  <si>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</si>
  <si>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</si>
  <si>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</si>
  <si>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</si>
  <si>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</si>
  <si>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</si>
  <si>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</si>
  <si>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</si>
  <si>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</si>
  <si>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</si>
  <si>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</si>
  <si>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</si>
  <si>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</si>
  <si>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</si>
  <si>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</si>
  <si>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</si>
  <si>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</si>
  <si>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</si>
  <si>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</si>
  <si>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</si>
  <si>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</si>
  <si>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</si>
  <si>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</si>
  <si>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</si>
  <si>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</si>
  <si>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</si>
  <si>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</si>
  <si>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</si>
  <si>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</si>
  <si>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</si>
  <si>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</si>
  <si>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</si>
  <si>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</si>
  <si>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</si>
  <si>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</si>
  <si>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</si>
  <si>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</si>
  <si>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</si>
  <si>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</si>
  <si>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</si>
  <si>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</si>
  <si>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</si>
  <si>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</si>
  <si>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</si>
  <si>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</si>
  <si>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</si>
  <si>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</si>
  <si>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</si>
  <si>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</si>
  <si>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</si>
  <si>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</si>
  <si>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</si>
  <si>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</si>
  <si>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</si>
  <si>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</si>
  <si>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</si>
  <si>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</si>
  <si>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</si>
  <si>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</si>
  <si>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</si>
  <si>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</si>
  <si>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</si>
  <si>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</si>
  <si>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</si>
  <si>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</si>
  <si>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</si>
  <si>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</si>
  <si>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</si>
  <si>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</si>
  <si>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</si>
  <si>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</si>
  <si>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</si>
  <si>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</si>
  <si>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</si>
  <si>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</si>
  <si>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</si>
  <si>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</si>
  <si>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</si>
  <si>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</si>
  <si>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</si>
  <si>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</si>
  <si>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</si>
  <si>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</si>
  <si>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</si>
  <si>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</si>
  <si>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</si>
  <si>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</si>
  <si>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</si>
  <si>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</si>
  <si>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</si>
  <si>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</si>
  <si>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</si>
  <si>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</si>
  <si>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</si>
  <si>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</si>
  <si>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</si>
  <si>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</si>
  <si>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</si>
  <si>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</si>
  <si>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</si>
  <si>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</si>
  <si>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</si>
  <si>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</si>
  <si>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</si>
  <si>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</si>
  <si>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</si>
  <si>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</si>
  <si>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</si>
  <si>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</si>
  <si>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</si>
  <si>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</si>
  <si>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</si>
  <si>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</si>
  <si>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</si>
  <si>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</si>
  <si>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</si>
  <si>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</si>
  <si>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</si>
  <si>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</si>
  <si>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</si>
  <si>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</si>
  <si>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</si>
  <si>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</si>
  <si>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</si>
  <si>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</si>
  <si>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</si>
  <si>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</si>
  <si>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</si>
  <si>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</si>
  <si>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</si>
  <si>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</si>
  <si>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</si>
  <si>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</si>
  <si>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</si>
  <si>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</si>
  <si>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</si>
  <si>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</si>
  <si>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</si>
  <si>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</si>
  <si>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</si>
  <si>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</si>
  <si>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</si>
  <si>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</si>
  <si>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</si>
  <si>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</si>
  <si>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</si>
  <si>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</si>
  <si>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</si>
  <si>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</si>
  <si>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</si>
  <si>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</si>
  <si>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</si>
  <si>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</si>
  <si>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</si>
  <si>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</si>
  <si>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</si>
  <si>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</si>
  <si>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</si>
  <si>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</si>
  <si>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</si>
  <si>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</si>
  <si>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</si>
  <si>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</si>
  <si>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</si>
  <si>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</si>
  <si>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</si>
  <si>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</si>
  <si>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</si>
  <si>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</si>
  <si>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</si>
  <si>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</si>
  <si>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</si>
  <si>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</si>
  <si>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</si>
  <si>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</si>
  <si>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</si>
  <si>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</si>
  <si>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</si>
  <si>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</si>
  <si>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</si>
  <si>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</si>
  <si>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</si>
  <si>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</si>
  <si>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</si>
  <si>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</si>
  <si>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</si>
  <si>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</si>
  <si>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</si>
  <si>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</si>
  <si>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</si>
  <si>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</si>
  <si>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</si>
  <si>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</si>
  <si>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</si>
  <si>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</si>
  <si>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</si>
  <si>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</si>
  <si>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</si>
  <si>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</si>
  <si>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</si>
  <si>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</si>
  <si>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</si>
  <si>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</si>
  <si>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</si>
  <si>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</si>
  <si>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</si>
  <si>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</si>
  <si>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</si>
  <si>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</si>
  <si>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</si>
  <si>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</si>
  <si>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</si>
  <si>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</si>
  <si>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</si>
  <si>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</si>
  <si>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</si>
  <si>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</si>
  <si>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</si>
  <si>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</si>
  <si>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</si>
  <si>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</si>
  <si>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</si>
  <si>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</si>
  <si>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</si>
  <si>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</si>
  <si>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</si>
  <si>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</si>
  <si>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</si>
  <si>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</si>
  <si>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</si>
  <si>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</si>
  <si>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</si>
  <si>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</si>
  <si>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</si>
  <si>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</si>
  <si>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</si>
  <si>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</si>
  <si>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</si>
  <si>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</si>
  <si>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</si>
  <si>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</si>
  <si>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</si>
  <si>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</si>
  <si>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</si>
  <si>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</si>
  <si>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</si>
  <si>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</si>
  <si>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</si>
  <si>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</si>
  <si>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</si>
  <si>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</si>
  <si>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</si>
  <si>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</si>
  <si>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</si>
  <si>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</si>
  <si>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</si>
  <si>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</si>
  <si>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</si>
  <si>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</si>
  <si>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</si>
  <si>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</si>
  <si>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</si>
  <si>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</si>
  <si>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</si>
  <si>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</si>
  <si>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</si>
  <si>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</si>
  <si>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</si>
  <si>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</si>
  <si>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</si>
  <si>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</si>
  <si>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</si>
  <si>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</si>
  <si>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</si>
  <si>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</si>
  <si>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</si>
  <si>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</si>
  <si>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</si>
  <si>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</si>
  <si>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</si>
  <si>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</si>
  <si>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</si>
  <si>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</si>
  <si>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</si>
  <si>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</si>
  <si>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</si>
  <si>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</si>
  <si>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</si>
  <si>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</si>
  <si>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</si>
  <si>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</si>
  <si>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</si>
  <si>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</si>
  <si>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</si>
  <si>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</si>
  <si>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</si>
  <si>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</si>
  <si>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</si>
  <si>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</si>
  <si>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</si>
  <si>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</si>
  <si>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</si>
  <si>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</si>
  <si>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</si>
  <si>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</si>
  <si>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</si>
  <si>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</si>
  <si>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</si>
  <si>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</si>
  <si>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</si>
  <si>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</si>
  <si>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</si>
  <si>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</si>
  <si>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</si>
  <si>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</si>
  <si>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</si>
  <si>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</si>
  <si>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</si>
  <si>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</si>
  <si>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</si>
  <si>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</si>
  <si>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</si>
  <si>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</si>
  <si>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</si>
  <si>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</si>
  <si>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</si>
  <si>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</si>
  <si>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</si>
  <si>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</si>
  <si>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</si>
  <si>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</si>
  <si>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</si>
  <si>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</si>
  <si>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</si>
  <si>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</si>
  <si>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</si>
  <si>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</si>
  <si>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</si>
  <si>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</si>
  <si>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</si>
  <si>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</si>
  <si>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</si>
  <si>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</si>
  <si>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</si>
  <si>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</si>
  <si>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</si>
  <si>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</si>
  <si>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</si>
  <si>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</si>
  <si>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</si>
  <si>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</si>
  <si>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</si>
  <si>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</si>
  <si>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</si>
  <si>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</si>
  <si>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</si>
  <si>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</si>
  <si>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</si>
  <si>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</si>
  <si>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</si>
  <si>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</si>
  <si>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</si>
  <si>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</si>
  <si>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</si>
  <si>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</si>
  <si>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</si>
  <si>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</si>
  <si>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</si>
  <si>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</si>
  <si>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</si>
  <si>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</si>
  <si>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</si>
  <si>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</si>
  <si>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</si>
  <si>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</si>
  <si>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</si>
  <si>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</si>
  <si>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</si>
  <si>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</si>
  <si>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</si>
  <si>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</si>
  <si>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</si>
  <si>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</si>
  <si>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</si>
  <si>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</si>
  <si>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</si>
  <si>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</si>
  <si>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</si>
  <si>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</si>
  <si>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</si>
  <si>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</si>
  <si>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</si>
  <si>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</si>
  <si>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</si>
  <si>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</si>
  <si>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</si>
  <si>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</si>
  <si>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</si>
  <si>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</si>
  <si>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</si>
  <si>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</si>
  <si>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</si>
  <si>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</si>
  <si>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</si>
  <si>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</si>
  <si>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</si>
  <si>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</si>
  <si>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</si>
  <si>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</si>
  <si>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</si>
  <si>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</si>
  <si>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</si>
  <si>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</si>
  <si>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</si>
  <si>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</si>
  <si>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</si>
  <si>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</si>
  <si>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</si>
  <si>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</si>
  <si>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</si>
  <si>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</si>
  <si>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</si>
  <si>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</si>
  <si>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</si>
  <si>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</si>
  <si>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</si>
  <si>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</si>
  <si>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</si>
  <si>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</si>
  <si>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</si>
  <si>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</si>
  <si>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</si>
  <si>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</si>
  <si>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</si>
  <si>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</si>
  <si>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</si>
  <si>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</si>
  <si>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</si>
  <si>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</si>
  <si>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</si>
  <si>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</si>
  <si>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</si>
  <si>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</si>
  <si>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</si>
  <si>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</si>
  <si>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</si>
  <si>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</si>
  <si>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</si>
  <si>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</si>
  <si>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</si>
  <si>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</si>
  <si>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</si>
  <si>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</si>
  <si>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</si>
  <si>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</si>
  <si>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</si>
  <si>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</si>
  <si>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</si>
  <si>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</si>
  <si>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</si>
  <si>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</si>
  <si>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</si>
  <si>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</si>
  <si>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</si>
  <si>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</si>
  <si>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</si>
  <si>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</si>
  <si>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</si>
  <si>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</si>
  <si>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</si>
  <si>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</si>
  <si>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</si>
  <si>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</si>
  <si>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</si>
  <si>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</si>
  <si>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</si>
  <si>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</si>
  <si>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</si>
  <si>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</si>
  <si>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</si>
  <si>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</si>
  <si>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</si>
  <si>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</si>
  <si>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</si>
  <si>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</si>
  <si>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</si>
  <si>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</si>
  <si>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</si>
  <si>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</si>
  <si>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</si>
  <si>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</si>
  <si>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</si>
  <si>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</si>
  <si>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</si>
  <si>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</si>
  <si>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</si>
  <si>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</si>
  <si>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</si>
  <si>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</si>
  <si>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</si>
  <si>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</si>
  <si>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</si>
  <si>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</si>
  <si>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</si>
  <si>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</si>
  <si>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</si>
  <si>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</si>
  <si>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</si>
  <si>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</si>
  <si>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</si>
  <si>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</si>
  <si>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</si>
  <si>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</si>
  <si>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</si>
  <si>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</si>
  <si>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</si>
  <si>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</si>
  <si>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</si>
  <si>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</si>
  <si>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</si>
  <si>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</si>
  <si>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</si>
  <si>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</si>
  <si>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</si>
  <si>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</si>
  <si>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</si>
  <si>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</si>
  <si>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</si>
  <si>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</si>
  <si>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</si>
  <si>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</si>
  <si>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</si>
  <si>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</si>
  <si>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</si>
  <si>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</si>
  <si>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</si>
  <si>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</si>
  <si>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</si>
  <si>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</si>
  <si>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</si>
  <si>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</si>
  <si>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</si>
  <si>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</si>
  <si>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</si>
  <si>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</si>
  <si>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</si>
  <si>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</si>
  <si>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</si>
  <si>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</si>
  <si>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</si>
  <si>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</si>
  <si>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</si>
  <si>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</si>
  <si>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</si>
  <si>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</si>
  <si>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</si>
  <si>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</si>
  <si>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</si>
  <si>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</si>
  <si>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</si>
  <si>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</si>
  <si>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</si>
  <si>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</si>
  <si>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</si>
  <si>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</si>
  <si>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</si>
  <si>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</si>
  <si>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</si>
  <si>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</si>
  <si>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</si>
  <si>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</si>
  <si>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</si>
  <si>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</si>
  <si>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</si>
  <si>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</si>
  <si>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</si>
  <si>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</si>
  <si>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</si>
  <si>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</si>
  <si>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</si>
  <si>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</si>
  <si>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</si>
  <si>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</si>
  <si>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</si>
  <si>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</si>
  <si>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</si>
  <si>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</si>
  <si>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</si>
  <si>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</si>
  <si>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</si>
  <si>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</si>
  <si>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</si>
  <si>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</si>
  <si>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</si>
  <si>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</si>
  <si>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</si>
  <si>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</si>
  <si>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</si>
  <si>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</si>
  <si>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</si>
  <si>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</si>
  <si>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</si>
  <si>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</si>
  <si>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</si>
  <si>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</si>
  <si>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</si>
  <si>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</si>
  <si>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</si>
  <si>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</si>
  <si>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</si>
  <si>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</si>
  <si>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</si>
  <si>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</si>
  <si>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</si>
  <si>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</si>
  <si>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</si>
  <si>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</si>
  <si>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</si>
  <si>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</si>
  <si>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</si>
  <si>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</si>
  <si>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</si>
  <si>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</si>
  <si>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</si>
  <si>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</si>
  <si>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</si>
  <si>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</si>
  <si>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</si>
  <si>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</si>
  <si>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</si>
  <si>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</si>
  <si>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</si>
  <si>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</si>
  <si>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</si>
  <si>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</si>
  <si>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</si>
  <si>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</si>
  <si>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</si>
  <si>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</si>
  <si>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</si>
  <si>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</si>
  <si>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</si>
  <si>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</si>
  <si>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</si>
  <si>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</si>
  <si>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</si>
  <si>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</si>
  <si>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</si>
  <si>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</si>
  <si>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</si>
  <si>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</si>
  <si>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</si>
  <si>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</si>
  <si>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</si>
  <si>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</si>
  <si>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</si>
  <si>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</si>
  <si>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</si>
  <si>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</si>
  <si>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</si>
  <si>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</si>
  <si>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</si>
  <si>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</si>
  <si>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</si>
  <si>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</si>
  <si>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</si>
  <si>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</si>
  <si>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</si>
  <si>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</si>
  <si>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</si>
  <si>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</si>
  <si>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</si>
  <si>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</si>
  <si>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</si>
  <si>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</si>
  <si>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</si>
  <si>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</si>
  <si>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</si>
  <si>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</si>
  <si>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</si>
  <si>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</si>
  <si>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</si>
  <si>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</si>
  <si>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</si>
  <si>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</si>
  <si>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</si>
  <si>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</si>
  <si>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</si>
  <si>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</si>
  <si>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</si>
  <si>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</si>
  <si>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</si>
  <si>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</si>
  <si>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</si>
  <si>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</si>
  <si>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</si>
  <si>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</si>
  <si>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</si>
  <si>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</si>
  <si>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</si>
  <si>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</si>
  <si>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</si>
  <si>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</si>
  <si>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</si>
  <si>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</si>
  <si>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</si>
  <si>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</si>
  <si>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</si>
  <si>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</si>
  <si>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</si>
  <si>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</si>
  <si>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</si>
  <si>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</si>
  <si>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</si>
  <si>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</si>
  <si>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</si>
  <si>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</si>
  <si>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</si>
  <si>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</si>
  <si>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</si>
  <si>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</si>
  <si>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</si>
  <si>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</si>
  <si>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</si>
  <si>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</si>
  <si>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</si>
  <si>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</si>
  <si>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</si>
  <si>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</si>
  <si>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</si>
  <si>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</si>
  <si>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</si>
  <si>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</si>
  <si>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</si>
  <si>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</si>
  <si>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</si>
  <si>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</si>
  <si>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</si>
  <si>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</si>
  <si>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</si>
  <si>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</si>
  <si>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</si>
  <si>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</si>
  <si>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</si>
  <si>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</si>
  <si>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</si>
  <si>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</si>
  <si>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</si>
  <si>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</si>
  <si>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</si>
  <si>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</si>
  <si>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</si>
  <si>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</si>
  <si>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</si>
  <si>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</si>
  <si>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</si>
  <si>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</si>
  <si>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</si>
  <si>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</si>
  <si>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</si>
  <si>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</si>
  <si>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</si>
  <si>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</si>
  <si>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</si>
  <si>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</si>
  <si>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</si>
  <si>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</si>
  <si>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</si>
  <si>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</si>
  <si>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</si>
  <si>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</si>
  <si>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</si>
  <si>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</si>
  <si>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</si>
  <si>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</si>
  <si>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</si>
  <si>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</si>
  <si>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</si>
  <si>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</si>
  <si>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</si>
  <si>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</si>
  <si>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</si>
  <si>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</si>
  <si>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</si>
  <si>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</si>
  <si>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</si>
  <si>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</si>
  <si>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</si>
  <si>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</si>
  <si>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</si>
  <si>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</si>
  <si>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</si>
  <si>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</si>
  <si>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</si>
  <si>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</si>
  <si>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</si>
  <si>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</si>
  <si>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</si>
  <si>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</si>
  <si>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</si>
  <si>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</si>
  <si>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</si>
  <si>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</si>
  <si>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</si>
  <si>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</si>
  <si>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</si>
  <si>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</si>
  <si>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</si>
  <si>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</si>
  <si>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</si>
  <si>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</si>
  <si>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</si>
  <si>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</si>
  <si>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</si>
  <si>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</si>
  <si>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</si>
  <si>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</si>
  <si>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</si>
  <si>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</si>
  <si>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</si>
  <si>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</si>
  <si>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</si>
  <si>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</si>
  <si>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</si>
  <si>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</si>
  <si>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</si>
  <si>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</si>
  <si>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</si>
  <si>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</si>
  <si>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</si>
  <si>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</si>
  <si>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</si>
  <si>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</si>
  <si>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</si>
  <si>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</si>
  <si>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</si>
  <si>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</si>
  <si>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</si>
  <si>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</si>
  <si>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</si>
  <si>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</si>
  <si>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</si>
  <si>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</si>
  <si>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</si>
  <si>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</si>
  <si>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</si>
  <si>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</si>
  <si>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</si>
  <si>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</si>
  <si>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</si>
  <si>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</si>
  <si>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</si>
  <si>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</si>
  <si>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</si>
  <si>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</si>
  <si>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</si>
  <si>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</si>
  <si>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</si>
  <si>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</si>
  <si>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</si>
  <si>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</si>
  <si>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</si>
  <si>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</si>
  <si>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</si>
  <si>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</si>
  <si>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</si>
  <si>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</si>
  <si>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</si>
  <si>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</si>
  <si>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</si>
  <si>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</si>
  <si>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</si>
  <si>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</si>
  <si>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</si>
  <si>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</si>
  <si>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</si>
  <si>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</si>
  <si>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</si>
  <si>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</si>
  <si>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</si>
  <si>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</si>
  <si>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</si>
  <si>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</si>
  <si>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</si>
  <si>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</si>
  <si>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</si>
  <si>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</si>
  <si>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</si>
  <si>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</si>
  <si>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</si>
  <si>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</si>
  <si>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</si>
  <si>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</si>
  <si>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</si>
  <si>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</si>
  <si>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</si>
  <si>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</si>
  <si>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</si>
  <si>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</si>
  <si>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</si>
  <si>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</si>
  <si>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</si>
  <si>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</si>
  <si>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</si>
  <si>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</si>
  <si>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</si>
  <si>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</si>
  <si>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</si>
  <si>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</si>
  <si>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</si>
  <si>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</si>
  <si>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</si>
  <si>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</si>
  <si>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</si>
  <si>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</si>
  <si>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</si>
  <si>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</si>
  <si>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</si>
  <si>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</si>
  <si>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</si>
  <si>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</si>
  <si>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</si>
  <si>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</si>
  <si>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</si>
  <si>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</si>
  <si>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</si>
  <si>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</si>
  <si>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</si>
  <si>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</si>
  <si>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</si>
  <si>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</si>
  <si>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</si>
  <si>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</si>
  <si>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</si>
  <si>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</si>
  <si>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</si>
  <si>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</si>
  <si>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</si>
  <si>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</si>
  <si>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</si>
  <si>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</si>
  <si>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</si>
  <si>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</si>
  <si>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</si>
  <si>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</si>
  <si>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</si>
  <si>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</si>
  <si>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</si>
  <si>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</si>
  <si>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</si>
  <si>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</si>
  <si>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</si>
  <si>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</si>
  <si>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</si>
  <si>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</si>
  <si>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</si>
  <si>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</si>
  <si>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</si>
  <si>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</si>
  <si>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</si>
  <si>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</si>
  <si>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</si>
  <si>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</si>
  <si>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</si>
  <si>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</si>
  <si>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</si>
  <si>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</si>
  <si>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</si>
  <si>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</si>
  <si>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</si>
  <si>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</si>
  <si>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</si>
  <si>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</si>
  <si>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</si>
  <si>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</si>
  <si>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</si>
  <si>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</si>
  <si>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</si>
  <si>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</si>
  <si>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</si>
  <si>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</si>
  <si>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</si>
  <si>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</si>
  <si>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</si>
  <si>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</si>
  <si>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</si>
  <si>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</si>
  <si>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</si>
  <si>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</si>
  <si>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</si>
  <si>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</si>
  <si>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</si>
  <si>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</si>
  <si>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</si>
  <si>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</si>
  <si>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</si>
  <si>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</si>
  <si>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</si>
  <si>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</si>
  <si>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</si>
  <si>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</si>
  <si>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</si>
  <si>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</si>
  <si>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</si>
  <si>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</si>
  <si>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</si>
  <si>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</si>
  <si>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</si>
  <si>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</si>
  <si>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</si>
  <si>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</si>
  <si>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</si>
  <si>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</si>
  <si>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</si>
  <si>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</si>
  <si>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</si>
  <si>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</si>
  <si>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</si>
  <si>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</si>
  <si>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</si>
  <si>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</si>
  <si>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</si>
  <si>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</si>
  <si>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</si>
  <si>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</si>
  <si>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</si>
  <si>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</si>
  <si>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</si>
  <si>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</si>
  <si>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</si>
  <si>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</si>
  <si>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</si>
  <si>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</si>
  <si>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</si>
  <si>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</si>
  <si>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</si>
  <si>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</si>
  <si>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</si>
  <si>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</si>
  <si>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</si>
  <si>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</si>
  <si>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</si>
  <si>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</si>
  <si>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</si>
  <si>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</si>
  <si>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</si>
  <si>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</si>
  <si>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</si>
  <si>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</si>
  <si>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</si>
  <si>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</si>
  <si>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</si>
  <si>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</si>
  <si>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</si>
  <si>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</si>
  <si>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</si>
  <si>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</si>
  <si>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</si>
  <si>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</si>
  <si>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</si>
  <si>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</si>
  <si>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</si>
  <si>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</si>
  <si>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</si>
  <si>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</si>
  <si>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</si>
  <si>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</si>
  <si>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</si>
  <si>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</si>
  <si>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</si>
  <si>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</si>
  <si>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</si>
  <si>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</si>
  <si>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</si>
  <si>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</si>
  <si>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</si>
  <si>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</si>
  <si>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</si>
  <si>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</si>
  <si>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</si>
  <si>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</si>
  <si>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</si>
  <si>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</si>
  <si>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</si>
  <si>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</si>
  <si>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</si>
  <si>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</si>
  <si>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</si>
  <si>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</si>
  <si>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</si>
  <si>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</si>
  <si>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</si>
  <si>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</si>
  <si>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</si>
  <si>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</si>
  <si>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</si>
  <si>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</si>
  <si>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</si>
  <si>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</si>
  <si>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</si>
  <si>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</si>
  <si>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</si>
  <si>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</si>
  <si>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</si>
  <si>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</si>
  <si>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</si>
  <si>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</si>
  <si>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</si>
  <si>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</si>
  <si>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</si>
  <si>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</si>
  <si>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</si>
  <si>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</si>
  <si>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</si>
  <si>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</si>
  <si>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</si>
  <si>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</si>
  <si>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</si>
  <si>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</si>
  <si>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</si>
  <si>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</si>
  <si>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</si>
  <si>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</si>
  <si>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</si>
  <si>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</si>
  <si>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</si>
  <si>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</si>
  <si>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</si>
  <si>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</si>
  <si>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</si>
  <si>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</si>
  <si>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</si>
  <si>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</si>
  <si>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</si>
  <si>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</si>
  <si>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</si>
  <si>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</si>
  <si>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</si>
  <si>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</si>
  <si>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</si>
  <si>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</si>
  <si>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</si>
  <si>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</si>
  <si>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</si>
  <si>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</si>
  <si>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</si>
  <si>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</si>
  <si>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</si>
  <si>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</si>
  <si>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</si>
  <si>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</si>
  <si>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</si>
  <si>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</si>
  <si>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</si>
  <si>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</si>
  <si>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</si>
  <si>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</si>
  <si>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</si>
  <si>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</si>
  <si>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</si>
  <si>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</si>
  <si>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</si>
  <si>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</si>
  <si>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</si>
  <si>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</si>
  <si>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</si>
  <si>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</si>
  <si>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</si>
  <si>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</si>
  <si>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</si>
  <si>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</si>
  <si>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</si>
  <si>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</si>
  <si>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</si>
  <si>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</si>
  <si>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</si>
  <si>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</si>
  <si>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</si>
  <si>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</si>
  <si>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</si>
  <si>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</si>
  <si>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</si>
  <si>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</si>
  <si>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</si>
  <si>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</si>
  <si>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</si>
  <si>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</si>
  <si>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</si>
  <si>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</si>
  <si>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</si>
  <si>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</si>
  <si>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</si>
  <si>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</si>
  <si>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</si>
  <si>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</si>
  <si>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</si>
  <si>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</si>
  <si>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</si>
  <si>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</si>
  <si>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</si>
  <si>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</si>
  <si>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</si>
  <si>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</si>
  <si>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</si>
  <si>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</si>
  <si>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</si>
  <si>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</si>
  <si>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</si>
  <si>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</si>
  <si>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</si>
  <si>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</si>
  <si>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</si>
  <si>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</si>
  <si>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</si>
  <si>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</si>
  <si>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</si>
  <si>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</si>
  <si>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</si>
  <si>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</si>
  <si>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</si>
  <si>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</si>
  <si>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</si>
  <si>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</si>
  <si>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</si>
  <si>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</si>
  <si>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</si>
  <si>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</si>
  <si>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</si>
  <si>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</si>
  <si>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</si>
  <si>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</si>
  <si>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</si>
  <si>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</si>
  <si>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</si>
  <si>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</si>
  <si>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</si>
  <si>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</si>
  <si>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</si>
  <si>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</si>
  <si>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</si>
  <si>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</si>
  <si>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</si>
  <si>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</si>
  <si>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</si>
  <si>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</si>
  <si>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</si>
  <si>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</si>
  <si>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</si>
  <si>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</si>
  <si>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</si>
  <si>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</si>
  <si>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</si>
  <si>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</si>
  <si>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</si>
  <si>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</si>
  <si>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</si>
  <si>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</si>
  <si>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</si>
  <si>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</si>
  <si>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</si>
  <si>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</si>
  <si>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</si>
  <si>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</si>
  <si>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</si>
  <si>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</si>
  <si>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</si>
  <si>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</si>
  <si>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</si>
  <si>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</si>
  <si>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</si>
  <si>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</si>
  <si>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</si>
  <si>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</si>
  <si>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</si>
  <si>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</si>
  <si>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</si>
  <si>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</si>
  <si>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</si>
  <si>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</si>
  <si>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</si>
  <si>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</si>
  <si>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</si>
  <si>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</si>
  <si>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</si>
  <si>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</si>
  <si>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</si>
  <si>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</si>
  <si>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</si>
  <si>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</si>
  <si>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</si>
  <si>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</si>
  <si>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</si>
  <si>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</si>
  <si>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</si>
  <si>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</si>
  <si>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</si>
  <si>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</si>
  <si>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</si>
  <si>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</si>
  <si>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</si>
  <si>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</si>
  <si>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</si>
  <si>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</si>
  <si>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</si>
  <si>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</si>
  <si>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</si>
  <si>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</si>
  <si>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</si>
  <si>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</si>
  <si>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</si>
  <si>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</si>
  <si>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</si>
  <si>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</si>
  <si>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</si>
  <si>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</si>
  <si>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</si>
  <si>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</si>
  <si>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</si>
  <si>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</si>
  <si>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</si>
  <si>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</si>
  <si>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</si>
  <si>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</si>
  <si>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</si>
  <si>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</si>
  <si>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</si>
  <si>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</si>
  <si>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</si>
  <si>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</si>
  <si>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</si>
  <si>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</si>
  <si>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</si>
  <si>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</si>
  <si>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</si>
  <si>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</si>
  <si>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</si>
  <si>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</si>
  <si>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</si>
  <si>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</si>
  <si>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</si>
  <si>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</si>
  <si>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</si>
  <si>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</si>
  <si>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</si>
  <si>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</si>
  <si>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</si>
  <si>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</si>
  <si>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</si>
  <si>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</si>
  <si>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</si>
  <si>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</si>
  <si>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</si>
  <si>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</si>
  <si>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</si>
  <si>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</si>
  <si>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</si>
  <si>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</si>
  <si>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</si>
  <si>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</si>
  <si>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</si>
  <si>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</si>
  <si>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</si>
  <si>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</si>
  <si>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</si>
  <si>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</si>
  <si>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</si>
  <si>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</si>
  <si>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</si>
  <si>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</si>
  <si>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</si>
  <si>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</si>
  <si>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</si>
  <si>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</si>
  <si>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</si>
  <si>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</si>
  <si>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</si>
  <si>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</si>
  <si>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</si>
  <si>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</si>
  <si>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</si>
  <si>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</si>
  <si>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</si>
  <si>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</si>
  <si>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</si>
  <si>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</si>
  <si>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</si>
  <si>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</si>
  <si>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</si>
  <si>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</si>
  <si>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</si>
  <si>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</si>
  <si>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</si>
  <si>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</si>
  <si>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</si>
  <si>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</si>
  <si>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</si>
  <si>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</si>
  <si>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</si>
  <si>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</si>
  <si>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</si>
  <si>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</si>
  <si>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</si>
  <si>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</si>
  <si>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</si>
  <si>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</si>
  <si>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</si>
  <si>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</si>
  <si>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</si>
  <si>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</si>
  <si>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</si>
  <si>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</si>
  <si>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</si>
  <si>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</si>
  <si>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</si>
  <si>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</si>
  <si>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</si>
  <si>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</si>
  <si>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</si>
  <si>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</si>
  <si>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</si>
  <si>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</si>
  <si>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</si>
  <si>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</si>
  <si>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</si>
  <si>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</si>
  <si>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</si>
  <si>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</si>
  <si>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</si>
  <si>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</si>
  <si>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</si>
  <si>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</si>
  <si>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</si>
  <si>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</si>
  <si>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</si>
  <si>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</si>
  <si>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</si>
  <si>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</si>
  <si>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</si>
  <si>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</si>
  <si>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</si>
  <si>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</si>
  <si>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</si>
  <si>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</si>
  <si>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</si>
  <si>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</si>
  <si>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</si>
  <si>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</si>
  <si>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</si>
  <si>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</si>
  <si>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</si>
  <si>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</si>
  <si>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</si>
  <si>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</si>
  <si>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</si>
  <si>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</si>
  <si>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</si>
  <si>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</si>
  <si>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</si>
  <si>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</si>
  <si>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</si>
  <si>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</si>
  <si>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</si>
  <si>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</si>
  <si>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</si>
  <si>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</si>
  <si>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</si>
  <si>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</si>
  <si>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</si>
  <si>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</si>
  <si>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</si>
  <si>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</si>
  <si>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</si>
  <si>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</si>
  <si>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</si>
  <si>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</si>
  <si>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</si>
  <si>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</si>
  <si>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</si>
  <si>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</si>
  <si>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</si>
  <si>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</si>
  <si>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</si>
  <si>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</si>
  <si>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</si>
  <si>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</si>
  <si>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</si>
  <si>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</si>
  <si>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</si>
  <si>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</si>
  <si>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</si>
  <si>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</si>
  <si>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</si>
  <si>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</si>
  <si>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</si>
  <si>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</si>
  <si>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</si>
  <si>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</si>
  <si>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</si>
  <si>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</si>
  <si>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</si>
  <si>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</si>
  <si>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</si>
  <si>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</si>
  <si>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</si>
  <si>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</si>
  <si>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</si>
  <si>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</si>
  <si>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</si>
  <si>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</si>
  <si>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</si>
  <si>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</si>
  <si>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</si>
  <si>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</si>
  <si>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</si>
  <si>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</si>
  <si>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</si>
  <si>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</si>
  <si>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</si>
  <si>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</si>
  <si>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</si>
  <si>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</si>
  <si>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</si>
  <si>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</si>
  <si>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</si>
  <si>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</si>
  <si>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</si>
  <si>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</si>
  <si>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</si>
  <si>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</si>
  <si>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</si>
  <si>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</si>
  <si>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</si>
  <si>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</si>
  <si>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</si>
  <si>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</si>
  <si>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</si>
  <si>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</si>
  <si>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</si>
  <si>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</si>
  <si>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</si>
  <si>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</si>
  <si>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</si>
  <si>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</si>
  <si>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</si>
  <si>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</si>
  <si>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</si>
  <si>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</si>
  <si>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</si>
  <si>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</si>
  <si>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</si>
  <si>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</si>
  <si>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</si>
  <si>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</si>
  <si>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</si>
  <si>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</si>
  <si>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</si>
  <si>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</si>
  <si>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</si>
  <si>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</si>
  <si>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</si>
  <si>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</si>
  <si>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</si>
  <si>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</si>
  <si>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</si>
  <si>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</si>
  <si>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</si>
  <si>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</si>
  <si>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</si>
  <si>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</si>
  <si>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</si>
  <si>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</si>
  <si>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</si>
  <si>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</si>
  <si>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</si>
  <si>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</si>
  <si>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</si>
  <si>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</si>
  <si>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</si>
  <si>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</si>
  <si>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</si>
  <si>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</si>
  <si>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</si>
  <si>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</si>
  <si>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</si>
  <si>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</si>
  <si>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</si>
  <si>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</si>
  <si>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</si>
  <si>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</si>
  <si>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</si>
  <si>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</si>
  <si>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</si>
  <si>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</si>
  <si>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</si>
  <si>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</si>
  <si>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</si>
  <si>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</si>
  <si>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</si>
  <si>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</si>
  <si>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</si>
  <si>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</si>
  <si>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</si>
  <si>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</si>
  <si>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</si>
  <si>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</si>
  <si>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</si>
  <si>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</si>
  <si>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</si>
  <si>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</si>
  <si>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</si>
  <si>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</si>
  <si>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</si>
  <si>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</si>
  <si>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</si>
  <si>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</si>
  <si>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</si>
  <si>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</si>
  <si>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</si>
  <si>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</si>
  <si>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</si>
  <si>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</si>
  <si>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</si>
  <si>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</si>
  <si>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</si>
  <si>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</si>
  <si>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</si>
  <si>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</si>
  <si>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</si>
  <si>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</si>
  <si>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</si>
  <si>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</si>
  <si>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</si>
  <si>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</si>
  <si>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</si>
  <si>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</si>
  <si>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</si>
  <si>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</si>
  <si>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</si>
  <si>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</si>
  <si>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</si>
  <si>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</si>
  <si>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</si>
  <si>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</si>
  <si>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</si>
  <si>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</si>
  <si>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</si>
  <si>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</si>
  <si>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</si>
  <si>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</si>
  <si>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</si>
  <si>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</si>
  <si>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</si>
  <si>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</si>
  <si>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</si>
  <si>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</si>
  <si>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</si>
  <si>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</si>
  <si>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</si>
  <si>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</si>
  <si>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</si>
  <si>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</si>
  <si>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</si>
  <si>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</si>
  <si>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</si>
  <si>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</si>
  <si>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</si>
  <si>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</si>
  <si>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</si>
  <si>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</si>
  <si>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</si>
  <si>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</si>
  <si>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</si>
  <si>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</si>
  <si>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</si>
  <si>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</si>
  <si>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</si>
  <si>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</si>
  <si>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</si>
  <si>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</si>
  <si>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</si>
  <si>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</si>
  <si>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</si>
  <si>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</si>
  <si>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</si>
  <si>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</si>
  <si>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</si>
  <si>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</si>
  <si>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</si>
  <si>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</si>
  <si>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</si>
  <si>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</si>
  <si>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</si>
  <si>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</si>
  <si>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</si>
  <si>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</si>
  <si>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</si>
  <si>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</si>
  <si>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</si>
  <si>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</si>
  <si>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</si>
  <si>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</si>
  <si>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</si>
  <si>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</si>
  <si>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</si>
  <si>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</si>
  <si>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</si>
  <si>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</si>
  <si>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</si>
  <si>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</si>
  <si>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</si>
  <si>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</si>
  <si>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</si>
  <si>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</si>
  <si>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</si>
  <si>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</si>
  <si>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</si>
  <si>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</si>
  <si>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</si>
  <si>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</si>
  <si>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</si>
  <si>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</si>
  <si>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</si>
  <si>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</si>
  <si>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</si>
  <si>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</si>
  <si>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</si>
  <si>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</si>
  <si>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</si>
  <si>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</si>
  <si>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</si>
  <si>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</si>
  <si>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</si>
  <si>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</si>
  <si>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</si>
  <si>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</si>
  <si>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</si>
  <si>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</si>
  <si>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</si>
  <si>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</si>
  <si>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</si>
  <si>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</si>
  <si>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</si>
  <si>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</si>
  <si>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</si>
  <si>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</si>
  <si>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</si>
  <si>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</si>
  <si>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</si>
  <si>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</si>
  <si>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</si>
  <si>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</si>
  <si>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</si>
  <si>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</si>
  <si>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</si>
  <si>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</si>
  <si>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</si>
  <si>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</si>
  <si>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</si>
  <si>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</si>
  <si>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</si>
  <si>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</si>
  <si>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</si>
  <si>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</si>
  <si>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</si>
  <si>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</si>
  <si>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</si>
  <si>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</si>
  <si>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</si>
  <si>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</si>
  <si>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</si>
  <si>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</si>
  <si>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</si>
  <si>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</si>
  <si>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</si>
  <si>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</si>
  <si>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</si>
  <si>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</si>
  <si>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</si>
  <si>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</si>
  <si>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</si>
  <si>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</si>
  <si>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</si>
  <si>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</si>
  <si>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</si>
  <si>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</si>
  <si>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</si>
  <si>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</si>
  <si>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</si>
  <si>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</si>
  <si>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</si>
  <si>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</si>
  <si>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</si>
  <si>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</si>
  <si>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</si>
  <si>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</si>
  <si>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</si>
  <si>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</si>
  <si>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</si>
  <si>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</si>
  <si>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</si>
  <si>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</si>
  <si>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</si>
  <si>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</si>
  <si>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</si>
  <si>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</si>
  <si>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</si>
  <si>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</si>
  <si>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</si>
  <si>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</si>
  <si>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</si>
  <si>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</si>
  <si>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</si>
  <si>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</si>
  <si>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</si>
  <si>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</si>
  <si>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</si>
  <si>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</si>
  <si>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</si>
  <si>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</si>
  <si>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</si>
  <si>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</si>
  <si>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</si>
  <si>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</si>
  <si>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</si>
  <si>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</si>
  <si>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</si>
  <si>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</si>
  <si>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</si>
  <si>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</si>
  <si>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</si>
  <si>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</si>
  <si>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</si>
  <si>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</si>
  <si>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</si>
  <si>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</si>
  <si>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</si>
  <si>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</si>
  <si>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</si>
  <si>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</si>
  <si>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</si>
  <si>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</si>
  <si>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</si>
  <si>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</si>
  <si>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</si>
  <si>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</si>
  <si>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</si>
  <si>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</si>
  <si>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</si>
  <si>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</si>
  <si>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</si>
  <si>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</si>
  <si>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</si>
  <si>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</si>
  <si>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</si>
  <si>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</si>
  <si>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</si>
  <si>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</si>
  <si>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</si>
  <si>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</si>
  <si>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</si>
  <si>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</si>
  <si>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</si>
  <si>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</si>
  <si>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</si>
  <si>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</si>
  <si>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</si>
  <si>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</si>
  <si>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</si>
  <si>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</si>
  <si>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</si>
  <si>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</si>
  <si>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</si>
  <si>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</si>
  <si>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</si>
  <si>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</si>
  <si>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</si>
  <si>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</si>
  <si>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</si>
  <si>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</si>
  <si>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</si>
  <si>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</si>
  <si>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</si>
  <si>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</si>
  <si>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</si>
  <si>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</si>
  <si>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</si>
  <si>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</si>
  <si>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</si>
  <si>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</si>
  <si>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</si>
  <si>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</si>
  <si>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</si>
  <si>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</si>
  <si>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</si>
  <si>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</si>
  <si>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</si>
  <si>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</si>
  <si>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</si>
  <si>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</si>
  <si>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</si>
  <si>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</si>
  <si>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</si>
  <si>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</si>
  <si>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</si>
  <si>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</si>
  <si>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</si>
  <si>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</si>
  <si>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</si>
  <si>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</si>
  <si>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</si>
  <si>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</si>
  <si>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</si>
  <si>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</si>
  <si>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</si>
  <si>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</si>
  <si>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</si>
  <si>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</si>
  <si>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</si>
  <si>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</si>
  <si>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</si>
  <si>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</si>
  <si>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</si>
  <si>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</si>
  <si>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</si>
  <si>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</si>
  <si>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</si>
  <si>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</si>
  <si>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</si>
  <si>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</si>
  <si>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</si>
  <si>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</si>
  <si>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</si>
  <si>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</si>
  <si>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</si>
  <si>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</si>
  <si>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</si>
  <si>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</si>
  <si>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</si>
  <si>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</si>
  <si>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</si>
  <si>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</si>
  <si>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</si>
  <si>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</si>
  <si>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</si>
  <si>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</si>
  <si>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</si>
  <si>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</si>
  <si>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</si>
  <si>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</si>
  <si>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</si>
  <si>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</si>
  <si>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</si>
  <si>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</si>
  <si>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</si>
  <si>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</si>
  <si>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</si>
  <si>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</si>
  <si>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</si>
  <si>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</si>
  <si>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</si>
  <si>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</si>
  <si>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</si>
  <si>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</si>
  <si>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</si>
  <si>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</si>
  <si>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</si>
  <si>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</si>
  <si>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</si>
  <si>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</si>
  <si>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</si>
  <si>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</si>
  <si>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</si>
  <si>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</si>
  <si>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</si>
  <si>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</si>
  <si>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</si>
  <si>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</si>
  <si>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</si>
  <si>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</si>
  <si>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</si>
  <si>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</si>
  <si>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</si>
  <si>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</si>
  <si>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</si>
  <si>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</si>
  <si>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</si>
  <si>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</si>
  <si>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</si>
  <si>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</si>
  <si>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</si>
  <si>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</si>
  <si>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</si>
  <si>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</si>
  <si>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</si>
  <si>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</si>
  <si>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</si>
  <si>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</si>
  <si>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</si>
  <si>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</si>
  <si>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</si>
  <si>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</si>
  <si>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</si>
  <si>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</si>
  <si>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</si>
  <si>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</si>
  <si>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</si>
  <si>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</si>
  <si>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</si>
  <si>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</si>
  <si>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</si>
  <si>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</si>
  <si>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</si>
  <si>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</si>
  <si>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</si>
  <si>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</si>
  <si>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</si>
  <si>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</si>
  <si>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</si>
  <si>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</si>
  <si>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</si>
  <si>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</si>
  <si>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</si>
  <si>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</si>
  <si>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</si>
  <si>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</si>
  <si>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</si>
  <si>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</si>
  <si>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</si>
  <si>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</si>
  <si>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</si>
  <si>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</si>
  <si>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</si>
  <si>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</si>
  <si>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</si>
  <si>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</si>
  <si>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</si>
  <si>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</si>
  <si>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</si>
  <si>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</si>
  <si>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</si>
  <si>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</si>
  <si>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</si>
  <si>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</si>
  <si>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</si>
  <si>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</si>
  <si>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</si>
  <si>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</si>
  <si>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</si>
  <si>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</si>
  <si>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</si>
  <si>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</si>
  <si>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</si>
  <si>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</si>
  <si>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</si>
  <si>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</si>
  <si>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</si>
  <si>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</si>
  <si>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</si>
  <si>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</si>
  <si>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</si>
  <si>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</si>
  <si>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</si>
  <si>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</si>
  <si>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</si>
  <si>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</si>
  <si>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</si>
  <si>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</si>
  <si>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</si>
  <si>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</si>
  <si>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</si>
  <si>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</si>
  <si>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</si>
  <si>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</si>
  <si>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</si>
  <si>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</si>
  <si>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</si>
  <si>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</si>
  <si>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</si>
  <si>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</si>
  <si>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</si>
  <si>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</si>
  <si>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</si>
  <si>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</si>
  <si>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</si>
  <si>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</si>
  <si>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</si>
  <si>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</si>
  <si>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</si>
  <si>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</si>
  <si>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</si>
  <si>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</si>
  <si>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</si>
  <si>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</si>
  <si>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</si>
  <si>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</si>
  <si>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</si>
  <si>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</si>
  <si>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</si>
  <si>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</si>
  <si>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</si>
  <si>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</si>
  <si>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</si>
  <si>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</si>
  <si>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</si>
  <si>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</si>
  <si>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</si>
  <si>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</si>
  <si>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</si>
  <si>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</si>
  <si>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</si>
  <si>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</si>
  <si>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</si>
  <si>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</si>
  <si>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</si>
  <si>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</si>
  <si>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</si>
  <si>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</si>
  <si>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</si>
  <si>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</si>
  <si>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</si>
  <si>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</si>
  <si>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</si>
  <si>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</si>
  <si>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</si>
  <si>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</si>
  <si>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</si>
  <si>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</si>
  <si>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</si>
  <si>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</si>
  <si>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</si>
  <si>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</si>
  <si>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</si>
  <si>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</si>
  <si>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</si>
  <si>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</si>
  <si>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</si>
  <si>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</si>
  <si>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</si>
  <si>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</si>
  <si>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</si>
  <si>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</si>
  <si>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</si>
  <si>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</si>
  <si>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</si>
  <si>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</si>
  <si>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</si>
  <si>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</si>
  <si>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</si>
  <si>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</si>
  <si>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</si>
  <si>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</si>
  <si>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</si>
  <si>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</si>
  <si>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</si>
  <si>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</si>
  <si>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</si>
  <si>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</si>
  <si>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</si>
  <si>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</si>
  <si>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</si>
  <si>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</si>
  <si>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</si>
  <si>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</si>
  <si>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</si>
  <si>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</si>
  <si>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</si>
  <si>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</si>
  <si>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</si>
  <si>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</si>
  <si>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</si>
  <si>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</si>
  <si>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</si>
  <si>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</si>
  <si>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</si>
  <si>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</si>
  <si>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</si>
  <si>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</si>
  <si>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</si>
  <si>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</si>
  <si>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</si>
  <si>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</si>
  <si>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</si>
  <si>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</si>
  <si>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</si>
  <si>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</si>
  <si>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</si>
  <si>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</si>
  <si>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</si>
  <si>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</si>
  <si>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</si>
  <si>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</si>
  <si>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</si>
  <si>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</si>
  <si>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</si>
  <si>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</si>
  <si>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</si>
  <si>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</si>
  <si>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</si>
  <si>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</si>
  <si>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</si>
  <si>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</si>
  <si>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</si>
  <si>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</si>
  <si>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</si>
  <si>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</si>
  <si>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</si>
  <si>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</si>
  <si>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</si>
  <si>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</si>
  <si>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</si>
  <si>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</si>
  <si>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</si>
  <si>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</si>
  <si>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</si>
  <si>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</si>
  <si>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</si>
  <si>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</si>
  <si>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</si>
  <si>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</si>
  <si>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</si>
  <si>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</si>
  <si>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</si>
  <si>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</si>
  <si>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</si>
  <si>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</si>
  <si>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</si>
  <si>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</si>
  <si>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</si>
  <si>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</si>
  <si>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</si>
  <si>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</si>
  <si>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</si>
  <si>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</si>
  <si>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</si>
  <si>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</si>
  <si>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</si>
  <si>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</si>
  <si>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</si>
  <si>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</si>
  <si>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</si>
  <si>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</si>
  <si>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</si>
  <si>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</si>
  <si>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</si>
  <si>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</si>
  <si>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</si>
  <si>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</si>
  <si>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</si>
  <si>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</si>
  <si>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</si>
  <si>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</si>
  <si>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</si>
  <si>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</si>
  <si>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</si>
  <si>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</si>
  <si>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</si>
  <si>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</si>
  <si>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</si>
  <si>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</si>
  <si>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</si>
  <si>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</si>
  <si>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</si>
  <si>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</si>
  <si>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</si>
  <si>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</si>
  <si>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</si>
  <si>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</si>
  <si>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</si>
  <si>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</si>
  <si>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</si>
  <si>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</si>
  <si>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</si>
  <si>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</si>
  <si>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</si>
  <si>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</si>
  <si>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</si>
  <si>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</si>
  <si>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</si>
  <si>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</si>
  <si>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</si>
  <si>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</si>
  <si>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</si>
  <si>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</si>
  <si>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</si>
  <si>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</si>
  <si>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</si>
  <si>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</si>
  <si>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</si>
  <si>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</si>
  <si>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</si>
  <si>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</si>
  <si>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</si>
  <si>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</si>
  <si>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</si>
  <si>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</si>
  <si>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</si>
  <si>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</si>
  <si>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</si>
  <si>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</si>
  <si>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</si>
  <si>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</si>
  <si>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</si>
  <si>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</si>
  <si>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</si>
  <si>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</si>
  <si>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</si>
  <si>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</si>
  <si>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</si>
  <si>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</si>
  <si>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</si>
  <si>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</si>
  <si>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</si>
  <si>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</si>
  <si>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</si>
  <si>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</si>
  <si>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</si>
  <si>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</si>
  <si>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</si>
  <si>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</si>
  <si>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</si>
  <si>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</si>
  <si>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</si>
  <si>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</si>
  <si>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</si>
  <si>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</si>
  <si>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</si>
  <si>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</si>
  <si>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</si>
  <si>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</si>
  <si>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</si>
  <si>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</si>
  <si>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</si>
  <si>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</si>
  <si>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</si>
  <si>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</si>
  <si>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</si>
  <si>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</si>
  <si>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</si>
  <si>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</si>
  <si>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</si>
  <si>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</si>
  <si>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</si>
  <si>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</si>
  <si>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</si>
  <si>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</si>
  <si>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</si>
  <si>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</si>
  <si>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</si>
  <si>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</si>
  <si>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</si>
  <si>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</si>
  <si>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</si>
  <si>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</si>
  <si>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</si>
  <si>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</si>
  <si>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</si>
  <si>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</si>
  <si>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</si>
  <si>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</si>
  <si>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</si>
  <si>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</si>
  <si>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</si>
  <si>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</si>
  <si>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</si>
  <si>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</si>
  <si>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</si>
  <si>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</si>
  <si>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</si>
  <si>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</si>
  <si>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</si>
  <si>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</si>
  <si>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</si>
  <si>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</si>
  <si>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</si>
  <si>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</si>
  <si>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</si>
  <si>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</si>
  <si>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</si>
  <si>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</si>
  <si>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</si>
  <si>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</si>
  <si>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</si>
  <si>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</si>
  <si>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</si>
  <si>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</si>
  <si>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</si>
  <si>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</si>
  <si>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</si>
  <si>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</si>
  <si>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</si>
  <si>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</si>
  <si>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</si>
  <si>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</si>
  <si>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</si>
  <si>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</si>
  <si>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</si>
  <si>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</si>
  <si>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</si>
  <si>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</si>
  <si>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</si>
  <si>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</si>
  <si>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</si>
  <si>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</si>
  <si>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</si>
  <si>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</si>
  <si>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</si>
  <si>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</si>
  <si>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</si>
  <si>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</si>
  <si>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</si>
  <si>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</si>
  <si>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</si>
  <si>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</si>
  <si>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</si>
  <si>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</si>
  <si>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</si>
  <si>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</si>
  <si>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</si>
  <si>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</si>
  <si>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</si>
  <si>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</si>
  <si>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</si>
  <si>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</si>
  <si>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</si>
  <si>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</si>
  <si>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</si>
  <si>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</si>
  <si>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</si>
  <si>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</si>
  <si>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</si>
  <si>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</si>
  <si>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</si>
  <si>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</si>
  <si>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</si>
  <si>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</si>
  <si>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</si>
  <si>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</si>
  <si>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</si>
  <si>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</si>
  <si>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</si>
  <si>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</si>
  <si>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</si>
  <si>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</si>
  <si>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</si>
  <si>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</si>
  <si>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</si>
  <si>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</si>
  <si>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</si>
  <si>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</si>
  <si>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</si>
  <si>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</si>
  <si>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</si>
  <si>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</si>
  <si>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</si>
  <si>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</si>
  <si>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</si>
  <si>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</si>
  <si>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</si>
  <si>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</si>
  <si>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</si>
  <si>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</si>
  <si>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</si>
  <si>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</si>
  <si>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</si>
  <si>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</si>
  <si>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</si>
  <si>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</si>
  <si>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</si>
  <si>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</si>
  <si>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</si>
  <si>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</si>
  <si>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</si>
  <si>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</si>
  <si>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</si>
  <si>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</si>
  <si>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</si>
  <si>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</si>
  <si>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</si>
  <si>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</si>
  <si>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</si>
  <si>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</si>
  <si>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</si>
  <si>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</si>
  <si>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</si>
  <si>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</si>
  <si>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</si>
  <si>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</si>
  <si>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</si>
  <si>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</si>
  <si>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</si>
  <si>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</si>
  <si>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</si>
  <si>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</si>
  <si>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</si>
  <si>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</si>
  <si>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</si>
  <si>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</si>
  <si>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</si>
  <si>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</si>
  <si>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</si>
  <si>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</si>
  <si>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</si>
  <si>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</si>
  <si>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</si>
  <si>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</si>
  <si>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</si>
  <si>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</si>
  <si>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</si>
  <si>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</si>
  <si>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</si>
  <si>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</si>
  <si>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</si>
  <si>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</si>
  <si>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</si>
  <si>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</si>
  <si>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</si>
  <si>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</si>
  <si>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</si>
  <si>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</si>
  <si>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</si>
  <si>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</si>
  <si>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</si>
  <si>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</si>
  <si>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</si>
  <si>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</si>
  <si>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</si>
  <si>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</si>
  <si>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</si>
  <si>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</si>
  <si>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</si>
  <si>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</si>
  <si>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</si>
  <si>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</si>
  <si>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</si>
  <si>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</si>
  <si>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</si>
  <si>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Reell Precision Manufacturing Corp</t>
  </si>
  <si>
    <t>1259 Willow Lake Blvd. St. Paul, MN  55011              Business Park Stien        118NL,-6181, MA Elsloo Netherlands</t>
  </si>
  <si>
    <t>Steve Krueger</t>
  </si>
  <si>
    <t>steve.krueger@reell.com</t>
  </si>
  <si>
    <t>+1 651-486-3340</t>
  </si>
  <si>
    <t>Senior Manger of Global Quality</t>
  </si>
  <si>
    <t>Solder in electric coils and in bronze parts</t>
  </si>
  <si>
    <t>100%</t>
  </si>
  <si>
    <t>Em Vinto</t>
  </si>
  <si>
    <t>Malaysia Smelting Corporation (MSC)</t>
  </si>
  <si>
    <t>CID001105</t>
  </si>
  <si>
    <t>Carretera Oruro a Cala Cala Km.7.5 s/n Zona</t>
  </si>
  <si>
    <t>80 Moo 8 Sakdidej Road,</t>
  </si>
  <si>
    <t>27 Jalan Pantai, 12000</t>
  </si>
  <si>
    <t>Butterworth</t>
  </si>
  <si>
    <t>Komplex Indursri Air Kantung, Jl. Jelitik,</t>
  </si>
  <si>
    <t>Bairro Guarapiranga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</si>
</sst>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teve.krueger@ree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ve.krueger@ree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1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8E4A891-3687-423A-B0CF-15170E05E36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0D1C8B-6397-4758-BD7A-C9DAD87484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6.2">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3" t="str">
        <f ca="1">OFFSET(L!$C$1,MATCH("Declaration"&amp;ADDRESS(ROW(),COLUMN(),4)&amp;LEFT($D$9,1),L!$A:$A,0)-1,SL,,)</f>
        <v>Description of Scope:</v>
      </c>
      <c r="C10" s="119"/>
      <c r="D10" s="354"/>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6.2">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0"/>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0"/>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0" t="s">
        <v>15880</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0" t="s">
        <v>15881</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5" t="s">
        <v>15882</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99" t="s">
        <v>15883</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3" t="s">
        <v>15881</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0" t="s">
        <v>15884</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5" t="s">
        <v>15882</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400" t="s">
        <v>15883</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8">
        <v>46196</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0" t="str">
        <f ca="1">OFFSET(L!$C$1,MATCH("Declaration"&amp;ADDRESS(ROW(),COLUMN(),4),L!$A:$A,0)-1,SL,,)</f>
        <v>Answer the following questions 1 - 8 based on the declaration scope indicated above</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7" t="str">
        <f ca="1">OFFSET(L!$C$1,MATCH("Declaration"&amp;ADDRESS(ROW(),COLUMN(),4),L!$A:$A,0)-1,SL,,)</f>
        <v>Answer</v>
      </c>
      <c r="E25" s="337"/>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6" t="s">
        <v>474</v>
      </c>
      <c r="E26" s="327"/>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6" t="s">
        <v>473</v>
      </c>
      <c r="E27" s="327"/>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 xml:space="preserve">Gold  </v>
      </c>
      <c r="C28" s="32"/>
      <c r="D28" s="326" t="s">
        <v>474</v>
      </c>
      <c r="E28" s="327"/>
      <c r="F28" s="11"/>
      <c r="G28" s="334"/>
      <c r="H28" s="335"/>
      <c r="I28" s="335"/>
      <c r="J28" s="336"/>
      <c r="K28" s="33"/>
      <c r="L28" s="113"/>
      <c r="P28" s="42" t="str">
        <f>IF(D$28="No","","(*)")</f>
        <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6" t="s">
        <v>474</v>
      </c>
      <c r="E29" s="327"/>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1" t="str">
        <f ca="1">D25</f>
        <v>Answer</v>
      </c>
      <c r="E31" s="331"/>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32"/>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6" t="s">
        <v>473</v>
      </c>
      <c r="E33" s="327"/>
      <c r="F33" s="44"/>
      <c r="G33" s="334" t="s">
        <v>15885</v>
      </c>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 xml:space="preserve">Gold  </v>
      </c>
      <c r="C34" s="9"/>
      <c r="D34" s="326"/>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6"/>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1" t="str">
        <f ca="1">D25</f>
        <v>Answer</v>
      </c>
      <c r="E37" s="331"/>
      <c r="F37" s="17"/>
      <c r="G37" s="41" t="str">
        <f ca="1">G25</f>
        <v>Comments</v>
      </c>
      <c r="H37" s="374"/>
      <c r="I37" s="374"/>
      <c r="J37" s="374"/>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6"/>
      <c r="E38" s="327"/>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6" t="s">
        <v>474</v>
      </c>
      <c r="E39" s="327"/>
      <c r="F39" s="44"/>
      <c r="G39" s="334"/>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 xml:space="preserve">Gold  </v>
      </c>
      <c r="C40" s="9"/>
      <c r="D40" s="326"/>
      <c r="E40" s="327"/>
      <c r="F40" s="44"/>
      <c r="G40" s="334"/>
      <c r="H40" s="335"/>
      <c r="I40" s="335"/>
      <c r="J40" s="336"/>
      <c r="K40" s="33"/>
      <c r="L40" s="113"/>
      <c r="P40" s="42" t="str">
        <f>IF((OR(D$28="No",D$34="No")),"","(*)")</f>
        <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6"/>
      <c r="E41" s="327"/>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1" t="str">
        <f ca="1">D25</f>
        <v>Answer</v>
      </c>
      <c r="E43" s="331"/>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6"/>
      <c r="E44" s="327"/>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6" t="s">
        <v>474</v>
      </c>
      <c r="E45" s="327"/>
      <c r="F45" s="44"/>
      <c r="G45" s="334"/>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6"/>
      <c r="E46" s="327"/>
      <c r="F46" s="44"/>
      <c r="G46" s="334"/>
      <c r="H46" s="335"/>
      <c r="I46" s="335"/>
      <c r="J46" s="336"/>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6"/>
      <c r="E47" s="327"/>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1" t="str">
        <f ca="1">D25</f>
        <v>Answer</v>
      </c>
      <c r="E49" s="33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6"/>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6" t="s">
        <v>474</v>
      </c>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 xml:space="preserve">Gold  </v>
      </c>
      <c r="C52" s="9"/>
      <c r="D52" s="326"/>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6"/>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1" t="str">
        <f ca="1">D25</f>
        <v>Answer</v>
      </c>
      <c r="E55" s="33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68"/>
      <c r="E56" s="369"/>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8" t="s">
        <v>15886</v>
      </c>
      <c r="E57" s="369"/>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 xml:space="preserve">Gold  </v>
      </c>
      <c r="C58" s="32"/>
      <c r="D58" s="368"/>
      <c r="E58" s="369"/>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8"/>
      <c r="E59" s="369"/>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1" t="str">
        <f ca="1">D25</f>
        <v>Answer</v>
      </c>
      <c r="E61" s="331"/>
      <c r="F61" s="17"/>
      <c r="G61" s="41" t="str">
        <f ca="1">G25</f>
        <v>Comments</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32"/>
      <c r="E62" s="333"/>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6" t="s">
        <v>473</v>
      </c>
      <c r="E63" s="327"/>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 xml:space="preserve">Gold  </v>
      </c>
      <c r="C64" s="9"/>
      <c r="D64" s="326"/>
      <c r="E64" s="327"/>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6"/>
      <c r="E65" s="327"/>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1" t="str">
        <f ca="1">D25</f>
        <v>Answer</v>
      </c>
      <c r="E67" s="331"/>
      <c r="F67" s="17"/>
      <c r="G67" s="41" t="str">
        <f ca="1">G25</f>
        <v>Comments</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6"/>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6" t="s">
        <v>473</v>
      </c>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 xml:space="preserve">Gold  </v>
      </c>
      <c r="C70" s="32"/>
      <c r="D70" s="326"/>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6"/>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6" t="str">
        <f ca="1">OFFSET(L!$C$1,MATCH("Declaration"&amp;ADDRESS(ROW(),COLUMN(),4),L!$A:$A,0)-1,SL,,)</f>
        <v>Answer the Following Questions at a Company Level</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7" t="str">
        <f ca="1">D25</f>
        <v>Answer</v>
      </c>
      <c r="E74" s="337"/>
      <c r="F74" s="50"/>
      <c r="G74" s="337" t="str">
        <f ca="1">G25</f>
        <v>Comments</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6" t="s">
        <v>473</v>
      </c>
      <c r="E75" s="327"/>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6" t="s">
        <v>474</v>
      </c>
      <c r="E77" s="327"/>
      <c r="F77" s="54"/>
      <c r="G77" s="338"/>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6" t="s">
        <v>473</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6" t="s">
        <v>14427</v>
      </c>
      <c r="E83" s="327"/>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9" t="s">
        <v>473</v>
      </c>
      <c r="E85" s="380"/>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6" t="s">
        <v>473</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6" t="s">
        <v>474</v>
      </c>
      <c r="E89" s="327"/>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6.8"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9351C13-C31A-46CA-A4BF-D74C8052F0EF}"/>
    <hyperlink ref="D20" r:id="rId4" xr:uid="{CDAAC9C9-C297-485F-B46E-6F856323A61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7" sqref="F7"/>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7" t="str">
        <f ca="1">OFFSET(L!$C$1,MATCH("Smelter List"&amp;ADDRESS(ROW(),COLUMN(),4),L!$A:$A,0)-1,SL,,)</f>
        <v>Link to "RMAP Conformant Smelter List"</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15887</v>
      </c>
      <c r="D5" s="213"/>
      <c r="E5" s="166" t="s">
        <v>2321</v>
      </c>
      <c r="F5" s="166" t="s">
        <v>736</v>
      </c>
      <c r="G5" s="166" t="s">
        <v>12764</v>
      </c>
      <c r="H5" s="167" t="s">
        <v>15890</v>
      </c>
      <c r="I5" s="168" t="s">
        <v>1688</v>
      </c>
      <c r="J5" s="168" t="s">
        <v>1688</v>
      </c>
      <c r="K5" s="207"/>
      <c r="L5" s="207"/>
      <c r="M5" s="207"/>
      <c r="N5" s="207"/>
      <c r="O5" s="207"/>
      <c r="P5" s="169"/>
      <c r="Q5" s="208"/>
      <c r="R5" s="166" t="str">
        <f ca="1">IF(ISERROR($V5),"",OFFSET('Smelter Look-up'!$C$4,$V5-4,0)&amp;"")</f>
        <v>EM Vinto</v>
      </c>
      <c r="S5" s="165" t="str">
        <f ca="1">IF(B5="","",IF(ISERROR(MATCH($E5,CL,0)),"Unknown",INDIRECT("'C'!$A$"&amp;MATCH($E5,CL,0)+1)))</f>
        <v>Unknown</v>
      </c>
      <c r="T5" s="165" t="e">
        <f ca="1">IF(B5="","",IF(ISERROR(MATCH($J5,SorP!$B$1:$B$6261,0)),"",INDIRECT("'SorP'!$A$"&amp;MATCH($S5&amp;$J5,SorP!C:C,0))))</f>
        <v>#N/A</v>
      </c>
      <c r="U5" s="185"/>
      <c r="V5" s="209">
        <f>IF(C5="",NA(),IF(OR(C5="Smelter not listed",C5="Smelter not yet identified"),MATCH($B5&amp;$D5,'Smelter Look-up'!$J:$J,0),MATCH($B5&amp;$C5,'Smelter Look-up'!$J:$J,0)))</f>
        <v>453</v>
      </c>
      <c r="X5" s="210">
        <f t="shared" ref="X5" si="0">IF(AND(C5="Smelter not listed",OR(LEN(D5)=0,LEN(E5)=0)),1,0)</f>
        <v>0</v>
      </c>
      <c r="AB5" s="211" t="str">
        <f t="shared" ref="AB5" si="1">B5&amp;C5</f>
        <v>TinEm Vinto</v>
      </c>
    </row>
    <row r="6" spans="1:34" s="210" customFormat="1" ht="20.100000000000001" customHeight="1">
      <c r="A6" s="245"/>
      <c r="B6" s="166" t="s">
        <v>1088</v>
      </c>
      <c r="C6" s="170" t="s">
        <v>989</v>
      </c>
      <c r="D6" s="213"/>
      <c r="E6" s="166" t="s">
        <v>848</v>
      </c>
      <c r="F6" s="166" t="s">
        <v>753</v>
      </c>
      <c r="G6" s="166" t="s">
        <v>12764</v>
      </c>
      <c r="H6" s="167" t="s">
        <v>15891</v>
      </c>
      <c r="I6" s="168" t="s">
        <v>1711</v>
      </c>
      <c r="J6" s="168" t="s">
        <v>1712</v>
      </c>
      <c r="K6" s="207"/>
      <c r="L6" s="207"/>
      <c r="M6" s="207"/>
      <c r="N6" s="207"/>
      <c r="O6" s="207"/>
      <c r="P6" s="169"/>
      <c r="Q6" s="208"/>
      <c r="R6" s="166" t="str">
        <f ca="1">IF(ISERROR($V6),"",OFFSET('Smelter Look-up'!$C$4,$V6-4,0)&amp;"")</f>
        <v>Thaisarco</v>
      </c>
      <c r="S6" s="165" t="str">
        <f t="shared" ref="S6:S37" ca="1" si="2">IF(B6="","",IF(ISERROR(MATCH($E6,CL,0)),"Unknown",INDIRECT("'C'!$A$"&amp;MATCH($E6,CL,0)+1)))</f>
        <v>TH</v>
      </c>
      <c r="T6" s="165" t="str">
        <f ca="1">IF(B6="","",IF(ISERROR(MATCH($J6,SorP!$B$1:$B$6261,0)),"",INDIRECT("'SorP'!$A$"&amp;MATCH($S6&amp;$J6,SorP!C:C,0))))</f>
        <v>TH-83</v>
      </c>
      <c r="U6" s="185"/>
      <c r="V6" s="209">
        <f>IF(C6="",NA(),IF(OR(C6="Smelter not listed",C6="Smelter not yet identified"),MATCH($B6&amp;$D6,'Smelter Look-up'!$J:$J,0),MATCH($B6&amp;$C6,'Smelter Look-up'!$J:$J,0)))</f>
        <v>543</v>
      </c>
      <c r="X6" s="210">
        <f t="shared" ref="X6:X37" si="3">IF(AND(C6="Smelter not listed",OR(LEN(D6)=0,LEN(E6)=0)),1,0)</f>
        <v>0</v>
      </c>
      <c r="AB6" s="211" t="str">
        <f t="shared" ref="AB6:AB37" si="4">B6&amp;C6</f>
        <v>TinThaisarco</v>
      </c>
    </row>
    <row r="7" spans="1:34" s="210" customFormat="1" ht="20.100000000000001" customHeight="1">
      <c r="A7" s="245"/>
      <c r="B7" s="166" t="s">
        <v>1088</v>
      </c>
      <c r="C7" s="170" t="s">
        <v>15888</v>
      </c>
      <c r="D7" s="213"/>
      <c r="E7" s="166" t="s">
        <v>1073</v>
      </c>
      <c r="F7" s="166" t="s">
        <v>15889</v>
      </c>
      <c r="G7" s="166" t="s">
        <v>12764</v>
      </c>
      <c r="H7" s="167" t="s">
        <v>15892</v>
      </c>
      <c r="I7" s="168" t="s">
        <v>15893</v>
      </c>
      <c r="J7" s="168" t="s">
        <v>8321</v>
      </c>
      <c r="K7" s="207"/>
      <c r="L7" s="207"/>
      <c r="M7" s="207"/>
      <c r="N7" s="207"/>
      <c r="O7" s="207"/>
      <c r="P7" s="169"/>
      <c r="Q7" s="208"/>
      <c r="R7" s="166" t="str">
        <f ca="1">IF(ISERROR($V7),"",OFFSET('Smelter Look-up'!$C$4,$V7-4,0)&amp;"")</f>
        <v/>
      </c>
      <c r="S7" s="165" t="str">
        <f t="shared" ca="1" si="2"/>
        <v>MY</v>
      </c>
      <c r="T7" s="165" t="str">
        <f ca="1">IF(B7="","",IF(ISERROR(MATCH($J7,SorP!$B$1:$B$6261,0)),"",INDIRECT("'SorP'!$A$"&amp;MATCH($S7&amp;$J7,SorP!C:C,0))))</f>
        <v>MY-07</v>
      </c>
      <c r="U7" s="185"/>
      <c r="V7" s="209" t="e">
        <f>IF(C7="",NA(),IF(OR(C7="Smelter not listed",C7="Smelter not yet identified"),MATCH($B7&amp;$D7,'Smelter Look-up'!$J:$J,0),MATCH($B7&amp;$C7,'Smelter Look-up'!$J:$J,0)))</f>
        <v>#N/A</v>
      </c>
      <c r="X7" s="210">
        <f t="shared" si="3"/>
        <v>0</v>
      </c>
      <c r="AB7" s="211" t="str">
        <f t="shared" si="4"/>
        <v>TinMalaysia Smelting Corporation (MSC)</v>
      </c>
    </row>
    <row r="8" spans="1:34" s="210" customFormat="1" ht="20.100000000000001" customHeight="1">
      <c r="A8" s="245"/>
      <c r="B8" s="166" t="s">
        <v>1088</v>
      </c>
      <c r="C8" s="170" t="s">
        <v>802</v>
      </c>
      <c r="D8" s="213"/>
      <c r="E8" s="166" t="s">
        <v>2323</v>
      </c>
      <c r="F8" s="166" t="s">
        <v>735</v>
      </c>
      <c r="G8" s="166" t="s">
        <v>12764</v>
      </c>
      <c r="H8" s="167"/>
      <c r="I8" s="168" t="s">
        <v>1679</v>
      </c>
      <c r="J8" s="168" t="s">
        <v>1660</v>
      </c>
      <c r="K8" s="207"/>
      <c r="L8" s="207"/>
      <c r="M8" s="207"/>
      <c r="N8" s="207"/>
      <c r="O8" s="207"/>
      <c r="P8" s="169"/>
      <c r="Q8" s="208"/>
      <c r="R8" s="166" t="str">
        <f ca="1">IF(ISERROR($V8),"",OFFSET('Smelter Look-up'!$C$4,$V8-4,0)&amp;"")</f>
        <v>Alpha Assembly Solutions Inc</v>
      </c>
      <c r="S8" s="165" t="str">
        <f t="shared" ca="1" si="2"/>
        <v>US</v>
      </c>
      <c r="T8" s="165" t="str">
        <f ca="1">IF(B8="","",IF(ISERROR(MATCH($J8,SorP!$B$1:$B$6261,0)),"",INDIRECT("'SorP'!$A$"&amp;MATCH($S8&amp;$J8,SorP!C:C,0))))</f>
        <v>US-PA</v>
      </c>
      <c r="U8" s="185"/>
      <c r="V8" s="209">
        <f>IF(C8="",NA(),IF(OR(C8="Smelter not listed",C8="Smelter not yet identified"),MATCH($B8&amp;$D8,'Smelter Look-up'!$J:$J,0),MATCH($B8&amp;$C8,'Smelter Look-up'!$J:$J,0)))</f>
        <v>436</v>
      </c>
      <c r="X8" s="210">
        <f t="shared" si="3"/>
        <v>0</v>
      </c>
      <c r="AB8" s="211" t="str">
        <f t="shared" si="4"/>
        <v>TinCookson</v>
      </c>
    </row>
    <row r="9" spans="1:34" s="210" customFormat="1" ht="20.100000000000001" customHeight="1">
      <c r="A9" s="245"/>
      <c r="B9" s="166" t="s">
        <v>1088</v>
      </c>
      <c r="C9" s="170" t="s">
        <v>607</v>
      </c>
      <c r="D9" s="213"/>
      <c r="E9" s="166" t="s">
        <v>1063</v>
      </c>
      <c r="F9" s="166" t="s">
        <v>749</v>
      </c>
      <c r="G9" s="166" t="s">
        <v>12764</v>
      </c>
      <c r="H9" s="167" t="s">
        <v>15894</v>
      </c>
      <c r="I9" s="168" t="s">
        <v>1686</v>
      </c>
      <c r="J9" s="168" t="s">
        <v>12398</v>
      </c>
      <c r="K9" s="207"/>
      <c r="L9" s="207"/>
      <c r="M9" s="207"/>
      <c r="N9" s="207"/>
      <c r="O9" s="207"/>
      <c r="P9" s="169"/>
      <c r="Q9" s="208"/>
      <c r="R9" s="166" t="str">
        <f ca="1">IF(ISERROR($V9),"",OFFSET('Smelter Look-up'!$C$4,$V9-4,0)&amp;"")</f>
        <v>PT Mitra Stania Prima</v>
      </c>
      <c r="S9" s="165" t="str">
        <f t="shared" ca="1" si="2"/>
        <v>ID</v>
      </c>
      <c r="T9" s="165" t="str">
        <f ca="1">IF(B9="","",IF(ISERROR(MATCH($J9,SorP!$B$1:$B$6261,0)),"",INDIRECT("'SorP'!$A$"&amp;MATCH($S9&amp;$J9,SorP!C:C,0))))</f>
        <v>ID-BB</v>
      </c>
      <c r="U9" s="185"/>
      <c r="V9" s="209">
        <f>IF(C9="",NA(),IF(OR(C9="Smelter not listed",C9="Smelter not yet identified"),MATCH($B9&amp;$D9,'Smelter Look-up'!$J:$J,0),MATCH($B9&amp;$C9,'Smelter Look-up'!$J:$J,0)))</f>
        <v>524</v>
      </c>
      <c r="X9" s="210">
        <f t="shared" si="3"/>
        <v>0</v>
      </c>
      <c r="AB9" s="211" t="str">
        <f t="shared" si="4"/>
        <v>TinPT Mitra Stania Prima</v>
      </c>
    </row>
    <row r="10" spans="1:34" s="210" customFormat="1" ht="20.100000000000001" customHeight="1">
      <c r="A10" s="245"/>
      <c r="B10" s="166" t="s">
        <v>1088</v>
      </c>
      <c r="C10" s="170" t="s">
        <v>12468</v>
      </c>
      <c r="D10" s="213"/>
      <c r="E10" s="166" t="s">
        <v>1054</v>
      </c>
      <c r="F10" s="166" t="s">
        <v>743</v>
      </c>
      <c r="G10" s="166" t="s">
        <v>12764</v>
      </c>
      <c r="H10" s="167">
        <v>0</v>
      </c>
      <c r="I10" s="168" t="s">
        <v>15895</v>
      </c>
      <c r="J10" s="168" t="s">
        <v>1610</v>
      </c>
      <c r="K10" s="207"/>
      <c r="L10" s="207"/>
      <c r="M10" s="207"/>
      <c r="N10" s="207"/>
      <c r="O10" s="207"/>
      <c r="P10" s="169"/>
      <c r="Q10" s="208"/>
      <c r="R10" s="166" t="str">
        <f ca="1">IF(ISERROR($V10),"",OFFSET('Smelter Look-up'!$C$4,$V10-4,0)&amp;"")</f>
        <v>Mineracao Taboca S.A.</v>
      </c>
      <c r="S10" s="165" t="str">
        <f t="shared" ca="1" si="2"/>
        <v>BR</v>
      </c>
      <c r="T10" s="165" t="str">
        <f ca="1">IF(B10="","",IF(ISERROR(MATCH($J10,SorP!$B$1:$B$6261,0)),"",INDIRECT("'SorP'!$A$"&amp;MATCH($S10&amp;$J10,SorP!C:C,0))))</f>
        <v>BR-SP</v>
      </c>
      <c r="U10" s="185"/>
      <c r="V10" s="209">
        <f>IF(C10="",NA(),IF(OR(C10="Smelter not listed",C10="Smelter not yet identified"),MATCH($B10&amp;$D10,'Smelter Look-up'!$J:$J,0),MATCH($B10&amp;$C10,'Smelter Look-up'!$J:$J,0)))</f>
        <v>500</v>
      </c>
      <c r="X10" s="210">
        <f t="shared" si="3"/>
        <v>0</v>
      </c>
      <c r="AB10" s="211" t="str">
        <f t="shared" si="4"/>
        <v>TinMineracao Taboca SA</v>
      </c>
    </row>
    <row r="11" spans="1:34" s="210" customFormat="1" ht="20.100000000000001" customHeight="1">
      <c r="A11" s="245"/>
      <c r="B11" s="166" t="s">
        <v>1088</v>
      </c>
      <c r="C11" s="170" t="s">
        <v>15888</v>
      </c>
      <c r="D11" s="213"/>
      <c r="E11" s="166" t="s">
        <v>1073</v>
      </c>
      <c r="F11" s="166" t="s">
        <v>15889</v>
      </c>
      <c r="G11" s="166" t="s">
        <v>12764</v>
      </c>
      <c r="H11" s="167">
        <v>0</v>
      </c>
      <c r="I11" s="168" t="s">
        <v>15893</v>
      </c>
      <c r="J11" s="168" t="s">
        <v>8321</v>
      </c>
      <c r="K11" s="207"/>
      <c r="L11" s="207"/>
      <c r="M11" s="207"/>
      <c r="N11" s="207"/>
      <c r="O11" s="207"/>
      <c r="P11" s="169"/>
      <c r="Q11" s="208"/>
      <c r="R11" s="166" t="str">
        <f ca="1">IF(ISERROR($V11),"",OFFSET('Smelter Look-up'!$C$4,$V11-4,0)&amp;"")</f>
        <v/>
      </c>
      <c r="S11" s="165" t="str">
        <f t="shared" ca="1" si="2"/>
        <v>MY</v>
      </c>
      <c r="T11" s="165" t="str">
        <f ca="1">IF(B11="","",IF(ISERROR(MATCH($J11,SorP!$B$1:$B$6261,0)),"",INDIRECT("'SorP'!$A$"&amp;MATCH($S11&amp;$J11,SorP!C:C,0))))</f>
        <v>MY-07</v>
      </c>
      <c r="U11" s="185"/>
      <c r="V11" s="209" t="e">
        <f>IF(C11="",NA(),IF(OR(C11="Smelter not listed",C11="Smelter not yet identified"),MATCH($B11&amp;$D11,'Smelter Look-up'!$J:$J,0),MATCH($B11&amp;$C11,'Smelter Look-up'!$J:$J,0)))</f>
        <v>#N/A</v>
      </c>
      <c r="X11" s="210">
        <f t="shared" si="3"/>
        <v>0</v>
      </c>
      <c r="AB11" s="211" t="str">
        <f t="shared" si="4"/>
        <v>TinMalaysia Smelting Corporation (MSC)</v>
      </c>
    </row>
    <row r="12" spans="1:34" s="210" customFormat="1" ht="20.100000000000001" customHeight="1">
      <c r="A12" s="245"/>
      <c r="B12" s="166" t="s">
        <v>1088</v>
      </c>
      <c r="C12" s="170" t="s">
        <v>989</v>
      </c>
      <c r="D12" s="213"/>
      <c r="E12" s="166" t="s">
        <v>848</v>
      </c>
      <c r="F12" s="166" t="s">
        <v>753</v>
      </c>
      <c r="G12" s="166" t="s">
        <v>12764</v>
      </c>
      <c r="H12" s="167">
        <v>0</v>
      </c>
      <c r="I12" s="168" t="s">
        <v>1711</v>
      </c>
      <c r="J12" s="168" t="s">
        <v>1712</v>
      </c>
      <c r="K12" s="207"/>
      <c r="L12" s="207"/>
      <c r="M12" s="207"/>
      <c r="N12" s="207"/>
      <c r="O12" s="207"/>
      <c r="P12" s="169"/>
      <c r="Q12" s="208"/>
      <c r="R12" s="166" t="str">
        <f ca="1">IF(ISERROR($V12),"",OFFSET('Smelter Look-up'!$C$4,$V12-4,0)&amp;"")</f>
        <v>Thaisarco</v>
      </c>
      <c r="S12" s="165" t="str">
        <f t="shared" ca="1" si="2"/>
        <v>TH</v>
      </c>
      <c r="T12" s="165" t="str">
        <f ca="1">IF(B12="","",IF(ISERROR(MATCH($J12,SorP!$B$1:$B$6261,0)),"",INDIRECT("'SorP'!$A$"&amp;MATCH($S12&amp;$J12,SorP!C:C,0))))</f>
        <v>TH-83</v>
      </c>
      <c r="U12" s="185"/>
      <c r="V12" s="209">
        <f>IF(C12="",NA(),IF(OR(C12="Smelter not listed",C12="Smelter not yet identified"),MATCH($B12&amp;$D12,'Smelter Look-up'!$J:$J,0),MATCH($B12&amp;$C12,'Smelter Look-up'!$J:$J,0)))</f>
        <v>543</v>
      </c>
      <c r="X12" s="210">
        <f t="shared" si="3"/>
        <v>0</v>
      </c>
      <c r="AB12" s="211" t="str">
        <f t="shared" si="4"/>
        <v>TinThaisarco</v>
      </c>
    </row>
    <row r="13" spans="1:34" s="210" customFormat="1" ht="20.100000000000001" customHeight="1">
      <c r="A13" s="245"/>
      <c r="B13" s="166" t="s">
        <v>1088</v>
      </c>
      <c r="C13" s="170" t="s">
        <v>14898</v>
      </c>
      <c r="D13" s="213"/>
      <c r="E13" s="166" t="s">
        <v>1053</v>
      </c>
      <c r="F13" s="166" t="s">
        <v>1728</v>
      </c>
      <c r="G13" s="166" t="s">
        <v>12764</v>
      </c>
      <c r="H13" s="167">
        <v>0</v>
      </c>
      <c r="I13" s="168" t="s">
        <v>1729</v>
      </c>
      <c r="J13" s="168" t="s">
        <v>3031</v>
      </c>
      <c r="K13" s="207"/>
      <c r="L13" s="207"/>
      <c r="M13" s="207"/>
      <c r="N13" s="207"/>
      <c r="O13" s="207"/>
      <c r="P13" s="169"/>
      <c r="Q13" s="208"/>
      <c r="R13" s="166" t="str">
        <f ca="1">IF(ISERROR($V13),"",OFFSET('Smelter Look-up'!$C$4,$V13-4,0)&amp;"")</f>
        <v>Aurubis Beerse</v>
      </c>
      <c r="S13" s="165" t="str">
        <f t="shared" ca="1" si="2"/>
        <v>BE</v>
      </c>
      <c r="T13" s="165" t="str">
        <f ca="1">IF(B13="","",IF(ISERROR(MATCH($J13,SorP!$B$1:$B$6261,0)),"",INDIRECT("'SorP'!$A$"&amp;MATCH($S13&amp;$J13,SorP!C:C,0))))</f>
        <v>BE-VAN</v>
      </c>
      <c r="U13" s="185"/>
      <c r="V13" s="209">
        <f>IF(C13="",NA(),IF(OR(C13="Smelter not listed",C13="Smelter not yet identified"),MATCH($B13&amp;$D13,'Smelter Look-up'!$J:$J,0),MATCH($B13&amp;$C13,'Smelter Look-up'!$J:$J,0)))</f>
        <v>423</v>
      </c>
      <c r="X13" s="210">
        <f t="shared" si="3"/>
        <v>0</v>
      </c>
      <c r="AB13" s="211" t="str">
        <f t="shared" si="4"/>
        <v>TinAurubis Beerse</v>
      </c>
    </row>
    <row r="14" spans="1:34" s="210" customFormat="1" ht="20.100000000000001" customHeight="1">
      <c r="A14" s="245"/>
      <c r="B14" s="166" t="s">
        <v>1088</v>
      </c>
      <c r="C14" s="170" t="s">
        <v>992</v>
      </c>
      <c r="D14" s="213"/>
      <c r="E14" s="166" t="s">
        <v>840</v>
      </c>
      <c r="F14" s="166" t="s">
        <v>744</v>
      </c>
      <c r="G14" s="166" t="s">
        <v>12764</v>
      </c>
      <c r="H14" s="167">
        <v>0</v>
      </c>
      <c r="I14" s="168" t="s">
        <v>1702</v>
      </c>
      <c r="J14" s="168" t="s">
        <v>8699</v>
      </c>
      <c r="K14" s="207"/>
      <c r="L14" s="207"/>
      <c r="M14" s="207"/>
      <c r="N14" s="207"/>
      <c r="O14" s="207"/>
      <c r="P14" s="169"/>
      <c r="Q14" s="208"/>
      <c r="R14" s="166" t="str">
        <f ca="1">IF(ISERROR($V14),"",OFFSET('Smelter Look-up'!$C$4,$V14-4,0)&amp;"")</f>
        <v>Minsur</v>
      </c>
      <c r="S14" s="165" t="str">
        <f t="shared" ca="1" si="2"/>
        <v>PE</v>
      </c>
      <c r="T14" s="165" t="str">
        <f ca="1">IF(B14="","",IF(ISERROR(MATCH($J14,SorP!$B$1:$B$6261,0)),"",INDIRECT("'SorP'!$A$"&amp;MATCH($S14&amp;$J14,SorP!C:C,0))))</f>
        <v>PE-ICA</v>
      </c>
      <c r="U14" s="185"/>
      <c r="V14" s="209">
        <f>IF(C14="",NA(),IF(OR(C14="Smelter not listed",C14="Smelter not yet identified"),MATCH($B14&amp;$D14,'Smelter Look-up'!$J:$J,0),MATCH($B14&amp;$C14,'Smelter Look-up'!$J:$J,0)))</f>
        <v>503</v>
      </c>
      <c r="X14" s="210">
        <f t="shared" si="3"/>
        <v>0</v>
      </c>
      <c r="AB14" s="211" t="str">
        <f t="shared" si="4"/>
        <v>TinMinsur</v>
      </c>
    </row>
    <row r="15" spans="1:34" s="210" customFormat="1" ht="20.100000000000001" customHeight="1">
      <c r="A15" s="245"/>
      <c r="B15" s="166" t="s">
        <v>1088</v>
      </c>
      <c r="C15" s="170" t="s">
        <v>12708</v>
      </c>
      <c r="D15" s="213"/>
      <c r="E15" s="166" t="s">
        <v>2323</v>
      </c>
      <c r="F15" s="166" t="s">
        <v>12709</v>
      </c>
      <c r="G15" s="166" t="s">
        <v>12764</v>
      </c>
      <c r="H15" s="167">
        <v>0</v>
      </c>
      <c r="I15" s="168" t="s">
        <v>12710</v>
      </c>
      <c r="J15" s="168" t="s">
        <v>1660</v>
      </c>
      <c r="K15" s="207"/>
      <c r="L15" s="207"/>
      <c r="M15" s="207"/>
      <c r="N15" s="207"/>
      <c r="O15" s="207"/>
      <c r="P15" s="169"/>
      <c r="Q15" s="208"/>
      <c r="R15" s="166" t="str">
        <f ca="1">IF(ISERROR($V15),"",OFFSET('Smelter Look-up'!$C$4,$V15-4,0)&amp;"")</f>
        <v>Tin Technology &amp; Refining</v>
      </c>
      <c r="S15" s="165" t="str">
        <f t="shared" ca="1" si="2"/>
        <v>US</v>
      </c>
      <c r="T15" s="165" t="str">
        <f ca="1">IF(B15="","",IF(ISERROR(MATCH($J15,SorP!$B$1:$B$6261,0)),"",INDIRECT("'SorP'!$A$"&amp;MATCH($S15&amp;$J15,SorP!C:C,0))))</f>
        <v>US-PA</v>
      </c>
      <c r="U15" s="185"/>
      <c r="V15" s="209">
        <f>IF(C15="",NA(),IF(OR(C15="Smelter not listed",C15="Smelter not yet identified"),MATCH($B15&amp;$D15,'Smelter Look-up'!$J:$J,0),MATCH($B15&amp;$C15,'Smelter Look-up'!$J:$J,0)))</f>
        <v>547</v>
      </c>
      <c r="X15" s="210">
        <f t="shared" si="3"/>
        <v>0</v>
      </c>
      <c r="AB15" s="211" t="str">
        <f t="shared" si="4"/>
        <v>TinTin Technology &amp; Refining</v>
      </c>
    </row>
    <row r="16" spans="1:34" s="210" customFormat="1" ht="20.100000000000001" customHeight="1">
      <c r="A16" s="245"/>
      <c r="B16" s="166" t="s">
        <v>1088</v>
      </c>
      <c r="C16" s="170" t="s">
        <v>803</v>
      </c>
      <c r="D16" s="213"/>
      <c r="E16" s="166" t="s">
        <v>2321</v>
      </c>
      <c r="F16" s="166" t="s">
        <v>736</v>
      </c>
      <c r="G16" s="166" t="s">
        <v>12764</v>
      </c>
      <c r="H16" s="167">
        <v>0</v>
      </c>
      <c r="I16" s="168" t="s">
        <v>1688</v>
      </c>
      <c r="J16" s="168" t="s">
        <v>1688</v>
      </c>
      <c r="K16" s="207"/>
      <c r="L16" s="207"/>
      <c r="M16" s="207"/>
      <c r="N16" s="207"/>
      <c r="O16" s="207"/>
      <c r="P16" s="169"/>
      <c r="Q16" s="208"/>
      <c r="R16" s="166" t="str">
        <f ca="1">IF(ISERROR($V16),"",OFFSET('Smelter Look-up'!$C$4,$V16-4,0)&amp;"")</f>
        <v>EM Vinto</v>
      </c>
      <c r="S16" s="165" t="str">
        <f t="shared" ca="1" si="2"/>
        <v>Unknown</v>
      </c>
      <c r="T16" s="165" t="e">
        <f ca="1">IF(B16="","",IF(ISERROR(MATCH($J16,SorP!$B$1:$B$6261,0)),"",INDIRECT("'SorP'!$A$"&amp;MATCH($S16&amp;$J16,SorP!C:C,0))))</f>
        <v>#N/A</v>
      </c>
      <c r="U16" s="185"/>
      <c r="V16" s="209">
        <f>IF(C16="",NA(),IF(OR(C16="Smelter not listed",C16="Smelter not yet identified"),MATCH($B16&amp;$D16,'Smelter Look-up'!$J:$J,0),MATCH($B16&amp;$C16,'Smelter Look-up'!$J:$J,0)))</f>
        <v>453</v>
      </c>
      <c r="X16" s="210">
        <f t="shared" si="3"/>
        <v>0</v>
      </c>
      <c r="AB16" s="211" t="str">
        <f t="shared" si="4"/>
        <v>TinEM Vinto</v>
      </c>
    </row>
    <row r="17" spans="1:28" s="210" customFormat="1" ht="20.100000000000001" customHeight="1">
      <c r="A17" s="245"/>
      <c r="B17" s="166" t="s">
        <v>1088</v>
      </c>
      <c r="C17" s="170" t="s">
        <v>1718</v>
      </c>
      <c r="D17" s="213"/>
      <c r="E17" s="166" t="s">
        <v>1054</v>
      </c>
      <c r="F17" s="166" t="s">
        <v>754</v>
      </c>
      <c r="G17" s="166" t="s">
        <v>12764</v>
      </c>
      <c r="H17" s="167">
        <v>0</v>
      </c>
      <c r="I17" s="168" t="s">
        <v>1685</v>
      </c>
      <c r="J17" s="168" t="s">
        <v>1689</v>
      </c>
      <c r="K17" s="207"/>
      <c r="L17" s="207"/>
      <c r="M17" s="207"/>
      <c r="N17" s="207"/>
      <c r="O17" s="207"/>
      <c r="P17" s="169"/>
      <c r="Q17" s="208"/>
      <c r="R17" s="166" t="str">
        <f ca="1">IF(ISERROR($V17),"",OFFSET('Smelter Look-up'!$C$4,$V17-4,0)&amp;"")</f>
        <v>White Solder Metalurgia e Mineracao Ltda.</v>
      </c>
      <c r="S17" s="165" t="str">
        <f t="shared" ca="1" si="2"/>
        <v>BR</v>
      </c>
      <c r="T17" s="165" t="str">
        <f ca="1">IF(B17="","",IF(ISERROR(MATCH($J17,SorP!$B$1:$B$6261,0)),"",INDIRECT("'SorP'!$A$"&amp;MATCH($S17&amp;$J17,SorP!C:C,0))))</f>
        <v>BR-RO</v>
      </c>
      <c r="U17" s="185"/>
      <c r="V17" s="209">
        <f>IF(C17="",NA(),IF(OR(C17="Smelter not listed",C17="Smelter not yet identified"),MATCH($B17&amp;$D17,'Smelter Look-up'!$J:$J,0),MATCH($B17&amp;$C17,'Smelter Look-up'!$J:$J,0)))</f>
        <v>553</v>
      </c>
      <c r="X17" s="210">
        <f t="shared" si="3"/>
        <v>0</v>
      </c>
      <c r="AB17" s="211" t="str">
        <f t="shared" si="4"/>
        <v>TinWhite Solder Metalurgica</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399999999999999">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399999999999999">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399999999999999">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399999999999999">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41CAD7-F353-47AE-A8D0-FA398D0FA42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7"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Reell Precision Manufacturing Corp</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Steve Krueger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steve.krueger@reell.com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+1 651-486-3340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Steve Krueger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steve.krueger@reell.com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3" t="s">
        <v>858</v>
      </c>
      <c r="C4" s="393"/>
      <c r="D4" s="393"/>
      <c r="E4" s="393"/>
      <c r="F4" s="393"/>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6" t="str">
        <f ca="1">OFFSET(L!$C$1,MATCH("General"&amp;"Cpy",L!$A:$A,0)-1,SL,,)</f>
        <v>© 2026 Responsible Minerals Initiative. All rights reserved.</v>
      </c>
      <c r="C2006" s="396"/>
      <c r="D2006" s="396"/>
      <c r="E2006" s="396"/>
      <c r="F2006" s="396"/>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118" activePane="bottomLeft" state="frozen"/>
      <selection activeCell="A4" sqref="A4"/>
      <selection pane="bottomLeft" activeCell="E163" sqref="E163"/>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Craig Lundgren</cp:lastModifiedBy>
  <cp:lastPrinted>2015-04-21T20:47:43Z</cp:lastPrinted>
  <dcterms:created xsi:type="dcterms:W3CDTF">2010-06-21T21:00:23Z</dcterms:created>
  <dcterms:modified xsi:type="dcterms:W3CDTF">2026-06-23T19:46:40Z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